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Quick Service PC\Documents\PACK1-INTEGRADOS V3\Lote 3\10477 - ESCUELA DE EDUCACIÓN PARVULARIA PROFA MARÍA ELVIRA SIFONTES\DOCUMENTOS COMPLEMENTARIOS\PLAN DE OFERTA\"/>
    </mc:Choice>
  </mc:AlternateContent>
  <xr:revisionPtr revIDLastSave="0" documentId="13_ncr:1_{19B9CD61-F53C-4D7C-AD02-B115AD5A9988}" xr6:coauthVersionLast="47" xr6:coauthVersionMax="47" xr10:uidLastSave="{00000000-0000-0000-0000-000000000000}"/>
  <bookViews>
    <workbookView xWindow="-110" yWindow="-110" windowWidth="19420" windowHeight="10420" xr2:uid="{00000000-000D-0000-FFFF-FFFF00000000}"/>
  </bookViews>
  <sheets>
    <sheet name="PLAN DE OFERTA" sheetId="5" r:id="rId1"/>
    <sheet name="10477" sheetId="6" state="hidden" r:id="rId2"/>
    <sheet name="PRESUPUESTO" sheetId="3" state="hidden" r:id="rId3"/>
    <sheet name="Hoja1" sheetId="4" state="hidden" r:id="rId4"/>
  </sheets>
  <definedNames>
    <definedName name="_xlnm.Print_Area" localSheetId="1">'10477'!$A$1:$G$118</definedName>
    <definedName name="_xlnm.Print_Area" localSheetId="2">PRESUPUESTO!$A$1:$G$118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5" l="1"/>
  <c r="D10" i="5"/>
  <c r="D11" i="5"/>
  <c r="D13" i="5"/>
  <c r="D15" i="5"/>
  <c r="D16" i="5"/>
  <c r="D17" i="5"/>
  <c r="D27" i="5"/>
  <c r="D72" i="5"/>
  <c r="D74" i="5"/>
  <c r="D75" i="5"/>
  <c r="D93" i="5"/>
  <c r="D104" i="5"/>
  <c r="F109" i="6" l="1"/>
  <c r="F108" i="6"/>
  <c r="D107" i="6"/>
  <c r="F107" i="6" s="1"/>
  <c r="F106" i="6"/>
  <c r="F105" i="6"/>
  <c r="F104" i="6"/>
  <c r="F103" i="6"/>
  <c r="F102" i="6"/>
  <c r="F101" i="6"/>
  <c r="D100" i="6"/>
  <c r="F100" i="6" s="1"/>
  <c r="F97" i="6"/>
  <c r="G96" i="6"/>
  <c r="F94" i="6"/>
  <c r="F93" i="6"/>
  <c r="F92" i="6"/>
  <c r="F89" i="6"/>
  <c r="F88" i="6"/>
  <c r="F87" i="6"/>
  <c r="F86" i="6"/>
  <c r="F85" i="6"/>
  <c r="F83" i="6"/>
  <c r="F82" i="6"/>
  <c r="D78" i="6"/>
  <c r="F78" i="6" s="1"/>
  <c r="D77" i="6"/>
  <c r="F77" i="6" s="1"/>
  <c r="D76" i="6"/>
  <c r="F76" i="6" s="1"/>
  <c r="D75" i="6"/>
  <c r="F75" i="6" s="1"/>
  <c r="D74" i="6"/>
  <c r="F74" i="6" s="1"/>
  <c r="D73" i="6"/>
  <c r="F73" i="6" s="1"/>
  <c r="F70" i="6"/>
  <c r="F69" i="6"/>
  <c r="F68" i="6"/>
  <c r="F66" i="6"/>
  <c r="F65" i="6"/>
  <c r="F61" i="6"/>
  <c r="G60" i="6" s="1"/>
  <c r="F58" i="6"/>
  <c r="D57" i="6"/>
  <c r="F57" i="6" s="1"/>
  <c r="F56" i="6"/>
  <c r="D53" i="6"/>
  <c r="F53" i="6" s="1"/>
  <c r="D52" i="6"/>
  <c r="F52" i="6" s="1"/>
  <c r="D51" i="6"/>
  <c r="F51" i="6" s="1"/>
  <c r="F50" i="6"/>
  <c r="D49" i="6"/>
  <c r="F49" i="6" s="1"/>
  <c r="F48" i="6"/>
  <c r="D47" i="6"/>
  <c r="F47" i="6" s="1"/>
  <c r="D46" i="6"/>
  <c r="F46" i="6" s="1"/>
  <c r="D45" i="6"/>
  <c r="F45" i="6" s="1"/>
  <c r="D42" i="6"/>
  <c r="F42" i="6" s="1"/>
  <c r="F41" i="6"/>
  <c r="F40" i="6"/>
  <c r="F39" i="6"/>
  <c r="D38" i="6"/>
  <c r="F38" i="6" s="1"/>
  <c r="F27" i="6"/>
  <c r="D23" i="6"/>
  <c r="F23" i="6" s="1"/>
  <c r="D22" i="6"/>
  <c r="F22" i="6" s="1"/>
  <c r="F21" i="6"/>
  <c r="D20" i="6"/>
  <c r="F20" i="6" s="1"/>
  <c r="F17" i="6"/>
  <c r="F16" i="6"/>
  <c r="D14" i="6"/>
  <c r="F14" i="6" s="1"/>
  <c r="D13" i="6"/>
  <c r="F13" i="6" s="1"/>
  <c r="F12" i="6"/>
  <c r="D10" i="6"/>
  <c r="F10" i="6" s="1"/>
  <c r="D9" i="6"/>
  <c r="F9" i="6" s="1"/>
  <c r="D8" i="6"/>
  <c r="F8" i="6" s="1"/>
  <c r="D14" i="3"/>
  <c r="D13" i="3"/>
  <c r="D10" i="3"/>
  <c r="D9" i="3"/>
  <c r="D8" i="3"/>
  <c r="G80" i="6" l="1"/>
  <c r="G99" i="6"/>
  <c r="G72" i="6"/>
  <c r="G6" i="6"/>
  <c r="G19" i="6"/>
  <c r="G63" i="6"/>
  <c r="G44" i="6"/>
  <c r="G55" i="6"/>
  <c r="G25" i="6"/>
  <c r="G111" i="6" s="1"/>
  <c r="G112" i="6" l="1"/>
  <c r="G113" i="6" s="1"/>
  <c r="G114" i="6" s="1"/>
  <c r="J92" i="3"/>
  <c r="K92" i="3"/>
  <c r="L92" i="3" s="1"/>
  <c r="E92" i="3" s="1"/>
  <c r="J93" i="3"/>
  <c r="K93" i="3" s="1"/>
  <c r="L93" i="3" s="1"/>
  <c r="E93" i="3" s="1"/>
  <c r="J94" i="3"/>
  <c r="K94" i="3"/>
  <c r="L94" i="3" s="1"/>
  <c r="E94" i="3" s="1"/>
  <c r="J97" i="3"/>
  <c r="K97" i="3" s="1"/>
  <c r="L97" i="3" s="1"/>
  <c r="E97" i="3" s="1"/>
  <c r="F97" i="3" s="1"/>
  <c r="J100" i="3"/>
  <c r="K100" i="3"/>
  <c r="L100" i="3" s="1"/>
  <c r="E100" i="3" s="1"/>
  <c r="J101" i="3"/>
  <c r="K101" i="3"/>
  <c r="L101" i="3" s="1"/>
  <c r="E101" i="3" s="1"/>
  <c r="J102" i="3"/>
  <c r="K102" i="3" s="1"/>
  <c r="L102" i="3" s="1"/>
  <c r="E102" i="3" s="1"/>
  <c r="J103" i="3"/>
  <c r="K103" i="3"/>
  <c r="L103" i="3"/>
  <c r="E103" i="3" s="1"/>
  <c r="J104" i="3"/>
  <c r="K104" i="3" s="1"/>
  <c r="L104" i="3" s="1"/>
  <c r="E104" i="3" s="1"/>
  <c r="J105" i="3"/>
  <c r="K105" i="3" s="1"/>
  <c r="L105" i="3" s="1"/>
  <c r="E105" i="3" s="1"/>
  <c r="J106" i="3"/>
  <c r="K106" i="3" s="1"/>
  <c r="L106" i="3" s="1"/>
  <c r="E106" i="3" s="1"/>
  <c r="J107" i="3"/>
  <c r="K107" i="3" s="1"/>
  <c r="L107" i="3" s="1"/>
  <c r="E107" i="3" s="1"/>
  <c r="J108" i="3"/>
  <c r="K108" i="3" s="1"/>
  <c r="L108" i="3" s="1"/>
  <c r="E108" i="3" s="1"/>
  <c r="J109" i="3"/>
  <c r="K109" i="3" s="1"/>
  <c r="L109" i="3" s="1"/>
  <c r="E109" i="3" s="1"/>
  <c r="J82" i="3"/>
  <c r="K82" i="3"/>
  <c r="L82" i="3"/>
  <c r="E82" i="3" s="1"/>
  <c r="J83" i="3"/>
  <c r="K83" i="3" s="1"/>
  <c r="L83" i="3" s="1"/>
  <c r="E83" i="3" s="1"/>
  <c r="J84" i="3"/>
  <c r="K84" i="3" s="1"/>
  <c r="L84" i="3" s="1"/>
  <c r="J85" i="3"/>
  <c r="K85" i="3" s="1"/>
  <c r="L85" i="3" s="1"/>
  <c r="E85" i="3" s="1"/>
  <c r="J86" i="3"/>
  <c r="K86" i="3" s="1"/>
  <c r="L86" i="3" s="1"/>
  <c r="E86" i="3" s="1"/>
  <c r="J87" i="3"/>
  <c r="K87" i="3"/>
  <c r="L87" i="3" s="1"/>
  <c r="E87" i="3" s="1"/>
  <c r="J88" i="3"/>
  <c r="K88" i="3" s="1"/>
  <c r="L88" i="3" s="1"/>
  <c r="E88" i="3" s="1"/>
  <c r="J89" i="3"/>
  <c r="K89" i="3" s="1"/>
  <c r="L89" i="3" s="1"/>
  <c r="E89" i="3" s="1"/>
  <c r="J73" i="3"/>
  <c r="K73" i="3" s="1"/>
  <c r="L73" i="3" s="1"/>
  <c r="E73" i="3" s="1"/>
  <c r="J74" i="3"/>
  <c r="K74" i="3"/>
  <c r="L74" i="3" s="1"/>
  <c r="E74" i="3" s="1"/>
  <c r="J75" i="3"/>
  <c r="K75" i="3" s="1"/>
  <c r="L75" i="3" s="1"/>
  <c r="E75" i="3" s="1"/>
  <c r="J76" i="3"/>
  <c r="K76" i="3" s="1"/>
  <c r="L76" i="3" s="1"/>
  <c r="E76" i="3" s="1"/>
  <c r="J77" i="3"/>
  <c r="K77" i="3" s="1"/>
  <c r="L77" i="3" s="1"/>
  <c r="E77" i="3" s="1"/>
  <c r="J78" i="3"/>
  <c r="K78" i="3"/>
  <c r="L78" i="3" s="1"/>
  <c r="E78" i="3" s="1"/>
  <c r="J65" i="3"/>
  <c r="K65" i="3" s="1"/>
  <c r="L65" i="3" s="1"/>
  <c r="E65" i="3" s="1"/>
  <c r="J66" i="3"/>
  <c r="K66" i="3"/>
  <c r="L66" i="3" s="1"/>
  <c r="E66" i="3" s="1"/>
  <c r="J68" i="3"/>
  <c r="K68" i="3"/>
  <c r="L68" i="3" s="1"/>
  <c r="E68" i="3" s="1"/>
  <c r="J69" i="3"/>
  <c r="K69" i="3" s="1"/>
  <c r="L69" i="3" s="1"/>
  <c r="E69" i="3" s="1"/>
  <c r="J70" i="3"/>
  <c r="K70" i="3" s="1"/>
  <c r="L70" i="3" s="1"/>
  <c r="E70" i="3" s="1"/>
  <c r="J57" i="3"/>
  <c r="K57" i="3" s="1"/>
  <c r="L57" i="3" s="1"/>
  <c r="E57" i="3" s="1"/>
  <c r="J58" i="3"/>
  <c r="K58" i="3" s="1"/>
  <c r="L58" i="3" s="1"/>
  <c r="E58" i="3" s="1"/>
  <c r="J61" i="3"/>
  <c r="K61" i="3"/>
  <c r="L61" i="3" s="1"/>
  <c r="E61" i="3" s="1"/>
  <c r="J56" i="3"/>
  <c r="K56" i="3" s="1"/>
  <c r="L56" i="3" s="1"/>
  <c r="E56" i="3" s="1"/>
  <c r="J46" i="3"/>
  <c r="K46" i="3" s="1"/>
  <c r="L46" i="3" s="1"/>
  <c r="E46" i="3" s="1"/>
  <c r="J47" i="3"/>
  <c r="K47" i="3"/>
  <c r="L47" i="3" s="1"/>
  <c r="E47" i="3" s="1"/>
  <c r="J48" i="3"/>
  <c r="K48" i="3" s="1"/>
  <c r="L48" i="3" s="1"/>
  <c r="E48" i="3" s="1"/>
  <c r="J49" i="3"/>
  <c r="K49" i="3"/>
  <c r="L49" i="3" s="1"/>
  <c r="E49" i="3" s="1"/>
  <c r="J50" i="3"/>
  <c r="K50" i="3" s="1"/>
  <c r="L50" i="3" s="1"/>
  <c r="E50" i="3" s="1"/>
  <c r="J51" i="3"/>
  <c r="K51" i="3" s="1"/>
  <c r="L51" i="3" s="1"/>
  <c r="E51" i="3" s="1"/>
  <c r="J52" i="3"/>
  <c r="K52" i="3" s="1"/>
  <c r="L52" i="3" s="1"/>
  <c r="E52" i="3" s="1"/>
  <c r="J53" i="3"/>
  <c r="K53" i="3"/>
  <c r="L53" i="3" s="1"/>
  <c r="E53" i="3" s="1"/>
  <c r="J45" i="3"/>
  <c r="K45" i="3" s="1"/>
  <c r="L45" i="3" s="1"/>
  <c r="E45" i="3" s="1"/>
  <c r="J39" i="3"/>
  <c r="K39" i="3" s="1"/>
  <c r="L39" i="3" s="1"/>
  <c r="E39" i="3" s="1"/>
  <c r="J40" i="3"/>
  <c r="K40" i="3"/>
  <c r="L40" i="3" s="1"/>
  <c r="E40" i="3" s="1"/>
  <c r="F40" i="3" s="1"/>
  <c r="J41" i="3"/>
  <c r="K41" i="3"/>
  <c r="L41" i="3" s="1"/>
  <c r="E41" i="3" s="1"/>
  <c r="F41" i="3" s="1"/>
  <c r="J42" i="3"/>
  <c r="K42" i="3" s="1"/>
  <c r="L42" i="3" s="1"/>
  <c r="E42" i="3" s="1"/>
  <c r="J38" i="3"/>
  <c r="K38" i="3" s="1"/>
  <c r="L38" i="3" s="1"/>
  <c r="E38" i="3" s="1"/>
  <c r="J27" i="3"/>
  <c r="K27" i="3" s="1"/>
  <c r="L27" i="3" s="1"/>
  <c r="E27" i="3" s="1"/>
  <c r="F27" i="3" s="1"/>
  <c r="J21" i="3"/>
  <c r="K21" i="3" s="1"/>
  <c r="L21" i="3" s="1"/>
  <c r="E21" i="3" s="1"/>
  <c r="J22" i="3"/>
  <c r="K22" i="3" s="1"/>
  <c r="L22" i="3" s="1"/>
  <c r="E22" i="3" s="1"/>
  <c r="J23" i="3"/>
  <c r="K23" i="3" s="1"/>
  <c r="L23" i="3" s="1"/>
  <c r="E23" i="3" s="1"/>
  <c r="J20" i="3"/>
  <c r="K20" i="3" s="1"/>
  <c r="L20" i="3" s="1"/>
  <c r="E20" i="3" s="1"/>
  <c r="J9" i="3"/>
  <c r="K9" i="3" s="1"/>
  <c r="L9" i="3" s="1"/>
  <c r="E9" i="3" s="1"/>
  <c r="F9" i="3" s="1"/>
  <c r="J10" i="3"/>
  <c r="K10" i="3" s="1"/>
  <c r="L10" i="3" s="1"/>
  <c r="E10" i="3" s="1"/>
  <c r="F10" i="3" s="1"/>
  <c r="J12" i="3"/>
  <c r="K12" i="3"/>
  <c r="L12" i="3" s="1"/>
  <c r="E12" i="3" s="1"/>
  <c r="F12" i="3" s="1"/>
  <c r="J13" i="3"/>
  <c r="K13" i="3" s="1"/>
  <c r="L13" i="3" s="1"/>
  <c r="E13" i="3" s="1"/>
  <c r="F13" i="3" s="1"/>
  <c r="J14" i="3"/>
  <c r="K14" i="3" s="1"/>
  <c r="L14" i="3" s="1"/>
  <c r="E14" i="3" s="1"/>
  <c r="F14" i="3" s="1"/>
  <c r="J16" i="3"/>
  <c r="K16" i="3" s="1"/>
  <c r="L16" i="3" s="1"/>
  <c r="E16" i="3" s="1"/>
  <c r="F16" i="3" s="1"/>
  <c r="J17" i="3"/>
  <c r="K17" i="3" s="1"/>
  <c r="L17" i="3" s="1"/>
  <c r="E17" i="3" s="1"/>
  <c r="F17" i="3" s="1"/>
  <c r="J8" i="3"/>
  <c r="K8" i="3" s="1"/>
  <c r="L8" i="3" s="1"/>
  <c r="E8" i="3" s="1"/>
  <c r="F8" i="3" s="1"/>
  <c r="E16" i="4"/>
  <c r="E15" i="4"/>
  <c r="E14" i="4"/>
  <c r="E13" i="4"/>
  <c r="E12" i="4"/>
  <c r="E11" i="4"/>
  <c r="E10" i="4"/>
  <c r="E9" i="4"/>
  <c r="E8" i="4"/>
  <c r="E7" i="4"/>
  <c r="E6" i="4"/>
  <c r="D47" i="3"/>
  <c r="D46" i="3"/>
  <c r="D45" i="3"/>
  <c r="D107" i="3"/>
  <c r="F106" i="3"/>
  <c r="D100" i="3"/>
  <c r="D76" i="3"/>
  <c r="D75" i="3"/>
  <c r="D78" i="3"/>
  <c r="D77" i="3"/>
  <c r="D74" i="3"/>
  <c r="D73" i="3"/>
  <c r="D57" i="3"/>
  <c r="D52" i="3"/>
  <c r="G115" i="6" l="1"/>
  <c r="G116" i="6" s="1"/>
  <c r="D53" i="3"/>
  <c r="D51" i="3"/>
  <c r="D49" i="3"/>
  <c r="D42" i="3"/>
  <c r="D38" i="3"/>
  <c r="D23" i="3"/>
  <c r="F23" i="3" s="1"/>
  <c r="D22" i="3"/>
  <c r="D20" i="3"/>
  <c r="G117" i="6" l="1"/>
  <c r="G118" i="6" s="1"/>
  <c r="F109" i="3"/>
  <c r="F39" i="3"/>
  <c r="F38" i="3"/>
  <c r="F22" i="3"/>
  <c r="F21" i="3"/>
  <c r="F58" i="3" l="1"/>
  <c r="F53" i="3"/>
  <c r="F52" i="3"/>
  <c r="F51" i="3"/>
  <c r="F50" i="3"/>
  <c r="F49" i="3"/>
  <c r="F48" i="3"/>
  <c r="F47" i="3"/>
  <c r="F103" i="3"/>
  <c r="F107" i="3"/>
  <c r="F89" i="3"/>
  <c r="F102" i="3"/>
  <c r="F101" i="3"/>
  <c r="F100" i="3"/>
  <c r="F88" i="3"/>
  <c r="F70" i="3"/>
  <c r="F69" i="3"/>
  <c r="F68" i="3"/>
  <c r="F42" i="3"/>
  <c r="G25" i="3" s="1"/>
  <c r="F87" i="3" l="1"/>
  <c r="C6" i="4" l="1"/>
  <c r="F76" i="3" l="1"/>
  <c r="F46" i="3"/>
  <c r="F45" i="3"/>
  <c r="F83" i="3"/>
  <c r="F82" i="3"/>
  <c r="F86" i="3"/>
  <c r="F85" i="3"/>
  <c r="F93" i="3"/>
  <c r="F105" i="3" l="1"/>
  <c r="F74" i="3"/>
  <c r="F73" i="3" l="1"/>
  <c r="F94" i="3" l="1"/>
  <c r="F56" i="3"/>
  <c r="F57" i="3"/>
  <c r="F104" i="3"/>
  <c r="F92" i="3"/>
  <c r="F77" i="3"/>
  <c r="G55" i="3" l="1"/>
  <c r="G80" i="3"/>
  <c r="G44" i="3"/>
  <c r="G96" i="3"/>
  <c r="F78" i="3" l="1"/>
  <c r="F66" i="3"/>
  <c r="F108" i="3" l="1"/>
  <c r="G99" i="3" s="1"/>
  <c r="F75" i="3"/>
  <c r="G72" i="3" s="1"/>
  <c r="F65" i="3"/>
  <c r="F61" i="3"/>
  <c r="F20" i="3"/>
  <c r="G19" i="3" l="1"/>
  <c r="G6" i="3"/>
  <c r="G63" i="3"/>
  <c r="G60" i="3"/>
  <c r="G111" i="3" l="1"/>
  <c r="E17" i="4"/>
  <c r="E18" i="4" s="1"/>
  <c r="G112" i="3" l="1"/>
  <c r="G113" i="3" l="1"/>
  <c r="E19" i="4" s="1"/>
  <c r="E20" i="4" s="1"/>
  <c r="E21" i="4" s="1"/>
  <c r="E22" i="4" s="1"/>
  <c r="E23" i="4" s="1"/>
  <c r="E24" i="4" s="1"/>
  <c r="G114" i="3"/>
  <c r="G115" i="3" s="1"/>
  <c r="G116" i="3" s="1"/>
  <c r="G117" i="3" s="1"/>
  <c r="G118" i="3" s="1"/>
</calcChain>
</file>

<file path=xl/sharedStrings.xml><?xml version="1.0" encoding="utf-8"?>
<sst xmlns="http://schemas.openxmlformats.org/spreadsheetml/2006/main" count="708" uniqueCount="332">
  <si>
    <t>MINISTERIO DE EDUCACIÓN CIENCIA Y TECNOLOGÍA</t>
  </si>
  <si>
    <t>PROYECTO: ESCUELA DE EDUCACIÓN PARVULARIA "PROFA MARÍA ELVIRA SIFONTES"</t>
  </si>
  <si>
    <t>MUNICIPIO: SANTA ANA</t>
  </si>
  <si>
    <t>DEPARTAMENTO:  SANTA ANA          CÓDIGO:  10477</t>
  </si>
  <si>
    <t>No.</t>
  </si>
  <si>
    <t xml:space="preserve">DESCRIPCIÓN/PARTIDA </t>
  </si>
  <si>
    <t>UNIDAD</t>
  </si>
  <si>
    <t>CANTIDAD</t>
  </si>
  <si>
    <t>PRECIO UNITARIO</t>
  </si>
  <si>
    <t xml:space="preserve"> SUB-TOTAL </t>
  </si>
  <si>
    <t xml:space="preserve"> TOTAL PARTIDA </t>
  </si>
  <si>
    <t>OBRAS PRELIMINARES</t>
  </si>
  <si>
    <t>DEMOLICIONES Y DESMONTAJES EXTERIORES</t>
  </si>
  <si>
    <t>1.1.1</t>
  </si>
  <si>
    <t>Demolición y desalojo de piso de concreto y jardineras existentes, incluye limpieza y desalojo. (Vestibulo+circulación entre modulos A, B y C)</t>
  </si>
  <si>
    <t>m²</t>
  </si>
  <si>
    <t>1.1.2</t>
  </si>
  <si>
    <t>Demolición de aceras existentes, incluye limpieza y desalojo. (Acceso vehicular+Acera area verde)</t>
  </si>
  <si>
    <t>1.1.3</t>
  </si>
  <si>
    <t>Demolición de área de pared, incluye limpieza y desalojo. (Vestibulo+exterior modulo B)</t>
  </si>
  <si>
    <t>1.1.4</t>
  </si>
  <si>
    <t>Demolición de canaleta de concreto, incluye limpieza y desalojo.</t>
  </si>
  <si>
    <t>ml</t>
  </si>
  <si>
    <t>1.1.5</t>
  </si>
  <si>
    <t>Desmontaje de rotulo de identificación existente del C.E.</t>
  </si>
  <si>
    <t>c/u</t>
  </si>
  <si>
    <t>1.1.6</t>
  </si>
  <si>
    <t>Desmontaje de estructura metálica existente (Chalet en area de vestibulo + Cerco de vestibulo+cerco de dirección+barandales exteriores)</t>
  </si>
  <si>
    <t>DEMOLICIONES Y DESMONTAJES INTERIORES</t>
  </si>
  <si>
    <t>1.1.2.1</t>
  </si>
  <si>
    <t>Demolición y desalojo de piso de concreto existente, incluye limpieza y desalojo. (Servicios Sanitarios 2 y 3 + Bodegas de alimentos* + Bodega general*)</t>
  </si>
  <si>
    <t>1.1.2.2</t>
  </si>
  <si>
    <t>Demolición de área de pared, incluye limpieza y desalojo. (Servicios Sanitarios 2 y 3 + Bodegas de alimentos* + Bodega general*)</t>
  </si>
  <si>
    <t>1.1.2.3</t>
  </si>
  <si>
    <t>Desmontaje de cubierta y estructura metalica (Servicios Sanitarios 2 y 3 + Bodegas de alimentos* + Bodega general*)</t>
  </si>
  <si>
    <t>1.1.2.5</t>
  </si>
  <si>
    <t>Desmontaje de defensa metálica en ventana existente.  (Servicios Sanitarios 2 y 3 + Bodegas de alimentos* + Bodega general*)</t>
  </si>
  <si>
    <t>1.1.2.7</t>
  </si>
  <si>
    <t>Desmontaje de puertas (Servicios Sanitarios 2 y 3 + Bodegas de alimentos* + Bodega general*)</t>
  </si>
  <si>
    <t>u</t>
  </si>
  <si>
    <t>1.1.2.8</t>
  </si>
  <si>
    <t>Desinstalacion de artefactos sanitarios. (Servicios Sanitarios 2 y 3)</t>
  </si>
  <si>
    <t>Nota: Las área a demoler se indica en plano de demolición, se deberá hacer los desalojos de material a un lugar autorizado, e incluye permiso de demolicion.</t>
  </si>
  <si>
    <t>INTERVENCIONES EN VEGETACIÓN EXISTENTE</t>
  </si>
  <si>
    <t>1.3.1</t>
  </si>
  <si>
    <t>Tala, destronconado y deraizado de arbol existente. Incluye (desalojo, limpieza y permiso de tala).</t>
  </si>
  <si>
    <t>REHABILITACIONES</t>
  </si>
  <si>
    <t>MÓDULO A - ADMINISTRACION Y SERVICIO SANITARIO DE MAESTROS Y VISITAS</t>
  </si>
  <si>
    <t>2.1.1</t>
  </si>
  <si>
    <t>REHABILITACIÓN  QUE INCLUYE:
Cambio de cubierta a techo insulado 2", incluye limpieza, pintura de estructura de soporte, capote, hechura de cepos, tornillería.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Puerta metálica. 
Incluye desmontajes y desalojos.</t>
  </si>
  <si>
    <t>2.1.2</t>
  </si>
  <si>
    <t>Suministro y Construcción de división liviana con tabla yeso especial para humedad tipo Densglass con perfilería de lámina galvanizada cal 26. Según especificaciones en planos.</t>
  </si>
  <si>
    <t>m2</t>
  </si>
  <si>
    <t>MÓDULO B - MODULO DE 3 AULAS (aulas 2 - 4 ) - SERVICIO SANITARIO (aula 2)</t>
  </si>
  <si>
    <t>2.2.1</t>
  </si>
  <si>
    <t>MODULO DE 3 AULAS PARVULARIAS (aulas 2- 4 )</t>
  </si>
  <si>
    <t>2.2.1.1</t>
  </si>
  <si>
    <t xml:space="preserve">REHABILITACIÓN DE 3 AULAS QUE INCLUYE:
Cambio de cubierta a techo insulado 2", incluye limpieza, pintura de estructura de soporte, capote, hechura de cepos, tornillería.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 metálica. 
Incluye desmontajes y desalojos. </t>
  </si>
  <si>
    <t>2.2.2</t>
  </si>
  <si>
    <t>BODEGAS DIDACTICA (AULA 2)</t>
  </si>
  <si>
    <t>2.2.2.1</t>
  </si>
  <si>
    <t xml:space="preserve">REHABILITACIÓN DE 1 BODEGAS DIDACTICAS QUE INCLUYE:
Cambio de cubierta a techo insulado 2", incluye limpieza, pintura de estructura de soporte, capote, hechura de cepos, tornillería.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Puerta metálica. 
Incluye desmontajes y desalojos. </t>
  </si>
  <si>
    <t>MÓDULO C - MODULO DE 4 SERVICIOS SANITARIOS</t>
  </si>
  <si>
    <t>2.3.1</t>
  </si>
  <si>
    <t>SERVICIO SANITARIO DE PARVULARIA</t>
  </si>
  <si>
    <t>2.3.1.1</t>
  </si>
  <si>
    <t xml:space="preserve">REHABILITACIÓN DE UN MODULO DE SANITARIO QUE INCLUYE:
Cambio de cubierta a techo insulado 2", incluye limpieza, pintura de estructura de soporte, capote, hechura de cepos, tornillería, cambio de polín espacial a polin C 
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y manual de diseño “Mi Nueva Escuela”. 
Barras de apoyo. 
Puertas y divisiones internas enunciadas en acabados 
Servicios sanitarios para personas discapacitadas. 
Instalaciones hidraulicas (sistema de distribución de agua potable y sistema de drenaje de aguas negras) en buenas condiciones de funcionamiento. 
Incluye desmontajes y desalojos. </t>
  </si>
  <si>
    <t>MÓDULO D - MODULO DE 3 AULAS (AULAS 5 - 8 ) - SERVICIO SANITARIO (AULA 5)</t>
  </si>
  <si>
    <t>2.4.1</t>
  </si>
  <si>
    <t>MODULO DE 4 AULAS PARVULARIAS (AULAS 5-8)</t>
  </si>
  <si>
    <t>2.4.1.1</t>
  </si>
  <si>
    <t xml:space="preserve">REHABILITACIÓN DE 3 AULAS QUE INCLUYE:
Cambio de cubierta a techo insulado 2" , incluye limpieza, pintura de estructura de soporte, capote, hechura de cepos, tornillería.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ventiladores, detector de humo y circuito cerrado) 
Pizarra. 
Puerta metálica. 
Incluye desmontajes y desalojos. </t>
  </si>
  <si>
    <t>2.4.2</t>
  </si>
  <si>
    <t>BODEGAS DIDACTICA (AULA 5)</t>
  </si>
  <si>
    <t>2.4.2.1</t>
  </si>
  <si>
    <t>MÓDULO E - MODULO DE 3 AULAS (aulas 9-10 ) - SERVICIO SANITARIO (aula 8-10)</t>
  </si>
  <si>
    <t>2.5.1</t>
  </si>
  <si>
    <t>MODULO DE 3 AULAS PARVULARIAS (aulas 9-10 )</t>
  </si>
  <si>
    <t>2.5.1.1</t>
  </si>
  <si>
    <t>2.5.2</t>
  </si>
  <si>
    <t>SERVICIO SANITARIO DE PARVULARIA  (aula 9)</t>
  </si>
  <si>
    <t>2.5.2.1</t>
  </si>
  <si>
    <t xml:space="preserve">REHABILITACIÓN DE 2 SERVICIO SANITARIO QUE INCLUYE:
Cambio de cubierta a techo insulado 2", incluye limpieza, pintura de estructura de soporte, capote, hechura de cepos, tornillería, cambio de polín espacial a polin C 
Canales, fascias y bajadas de aguas lluvias incluye tubería subterránea a cajas de aguas lluvias con sus accesorios.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y manual de diseño “Mi Nueva Escuela”. 
Barras de apoyo. 
Puertas y divisiones internas enunciadas en acabados 
Servicios sanitarios para personas discapacitadas. 
Instalaciones hidraulicas (sistema de distribución de agua potable y sistema de drenaje de aguas negras) en buenas condiciones de funcionamiento. 
Incluye desmontajes y desalojos. </t>
  </si>
  <si>
    <t>2.5.3</t>
  </si>
  <si>
    <t>2 BODEGAS DIDACTICAS (AULA 9)</t>
  </si>
  <si>
    <t>2.5.3.1</t>
  </si>
  <si>
    <t xml:space="preserve">REHABILITACIÓN DE 2 BODEGAS DIDACTICAS QUE INCLUYE:
Cambio de cubierta a techo insulado 2", incluye limpieza, pintura de estructura de soporte, capote, hechura de cepos, tornillería. cambio de polín espacial a polin C
Canales, fascias y bajadas de aguas lluvias incluye tubería subterránea a cajas de aguas lluvias con sus accesorios. 
Ventanas corredizas. 
Defensas tipo cuadrícula. 
Piso tipo porcelanato y Zócalo. 
Repello, Afinado y Pintura a media altura (indicado en planos) lavable y el resto acrílica. 
Cambio Sistema Eléctrico incluye artefactos y dispositivos de acuerdo a especificaciones técnicas y normativa vigente. (Luminarias, tomacorrientes, interruptores)
Puerta metálica. 
Incluye desmontajes y desalojos. </t>
  </si>
  <si>
    <t>CONSTRUCCIONES</t>
  </si>
  <si>
    <t>MÓDULO A - MODULO DE 2 AULAS (AULAS 1 - 2 ) - ADMINISTRACION Y SERVICIO SANITARIO DE MAESTROS Y VISITAS</t>
  </si>
  <si>
    <t>3.1.1</t>
  </si>
  <si>
    <t>SERVICIOS SANITARIOS (VISITAS Y MAESTROS)</t>
  </si>
  <si>
    <t>3.1.1.1</t>
  </si>
  <si>
    <t>CONSTRUCCIÓN DE 2 SERVICIO SANITARIO QUE INCLUYE:
Demolición de paredes y piso existente.
Fundaciones y paredes de bloque de concreto de 15cm
Cubierta de techo a techo insulado 2", Incluye estructura de soporte, Capote.
Suministro e instalación de canales, fascias y bajadas de aguas lluvias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y manual de diseño “Mi Nueva Escuela”. 
Barras de apoyo. 
Puertas y divisiones internas enunciadas en acabados 
Servicios sanitarios para personas discapacitadas. 
Instalaciones hidraulicas (sistema de distribución de agua potable y sistema de drenaje de aguas negras) .
Incluye desmontajes y desalojos. 
Nota: Se deberá diseñar sistema hidráulico y dejar las instalaciones de red potable y aguas negras conectada a la red pública en buenas condiciones de funcionamiento.</t>
  </si>
  <si>
    <t>MÓDULO B - MODULO DE 3 AULAS (AULAS 1 - 3 ) - SERVICIO SANITARIO (AULA 1)</t>
  </si>
  <si>
    <t>3.2.1</t>
  </si>
  <si>
    <t>1 SERVICIO SANITARIO (AULA 1)</t>
  </si>
  <si>
    <t>3.2.1.1</t>
  </si>
  <si>
    <t>CONSTRUCCIÓN DE 1 SERVICIO SANITARIO QUE INCLUYE:
Demolición de paredes y piso existente.
Fundaciones y paredes de bloque de concreto de 15cm
Cubierta de techo a techo insulado 2", Incluye estructura de soporte, Capote.
Suministro e instalación de canales, fascias y bajadas de aguas lluvias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y manual de diseño “Mi Nueva Escuela”. 
Barras de apoyo. 
Puertas y divisiones internas enunciadas en acabados 
Servicios sanitarios para personas discapacitadas. 
Instalaciones hidraulicas (sistema de distribución de agua potable y sistema de drenaje de aguas negras) .
Incluye desmontajes y desalojos. 
Nota: Se deberá diseñar sistema hidráulico y dejar las instalaciones de red potable y aguas negras conectada a la red pública en buenas condiciones de funcionamiento.</t>
  </si>
  <si>
    <t>MÓDULO D - MODULO DE 3 AULAS (AULAS 4 - 7 ) - SERVICIO SANITARIO (AULA 4)</t>
  </si>
  <si>
    <t>3.3.1</t>
  </si>
  <si>
    <t>1 SERVICIO SANITARIO (aula 4)</t>
  </si>
  <si>
    <t>3.3.1.1</t>
  </si>
  <si>
    <t>CONSTRUCCIÓN DE 1 SERVICIO SANITARIO QUE INCLUYE:
Demolición de paredes y piso existente.
Fundaciones y paredes de bloque de concreto de 15cm
Cubierta de techo a techo insulado, Incluye estructura de soporte, Capote.
Suministro e instalación de canales, fascias y bajadas de aguas lluvias
Ventanas corredizas. 
Defensas tipo cuadrícula. 
Piso tipo porcelanato y Zócalo de PVC de curva sanitaria. 
Repello, Afinado y Pintado, azulejos altura según planos. 
Cambio Sistema Eléctrico incluye artefactos y dispositivos de acuerdo a especificaciones técnicas y normativa vigente. (Luminarias, tomacorrientes, interruptores) 
Servicio sanitario y lavamanos según especificaciones técnicas y manual de diseño “Mi Nueva Escuela”. 
Barras de apoyo. 
Puertas y divisiones internas enunciadas en acabados 
Servicios sanitarios para personas discapacitadas. 
Instalaciones hidraulicas (sistema de distribución de agua potable y sistema de drenaje de aguas negras) .
Incluye desmontajes y desalojos. 
Nota: Se deberá diseñar sistema hidráulico y dejar las instalaciones de red potable y aguas negras conectada a la red pública en buenas condiciones de funcionamiento.</t>
  </si>
  <si>
    <t>MÓDULO E - MODULO DE 3 AULAS (AULAS 8-10 ) - SERVICIO SANITARIO (AULAS 8-10)</t>
  </si>
  <si>
    <t>3.4.1</t>
  </si>
  <si>
    <t xml:space="preserve">MODULO DE 1 AULA PARVULARIA - INCLUYE BODEGA DIDACTICA Y SERVICIO SANITARIO - (AULA 10 ) </t>
  </si>
  <si>
    <t>3.4.1.1</t>
  </si>
  <si>
    <t xml:space="preserve">CONSTRUCCION DE 1 AULA QUE INCLUYE:
Fundaciones y paredes de bloque de concreto de 15cm. Cubierta a techo insulado de 2", estructura de soporte con polin C, capote, hechura de cepos, tornillería,pletina. 
Canales, fascias y bajadas de aguas lluvias incluye tubería subterránea a cajas de aguas lluvias con sus accesorios. 
Ventanas corredizas y puertas. 
Defensas tipo cuadrícula. 
Piso tipo porcelanato y Zócalo. 
Repello, Afinado y Pintura a media altura (indicado en planos) lavable y el resto acrílica. 
Sistema Eléctrico incluye artefactos y dispositivos de acuerdo a especificaciones técnicas y normativa vigente. (Luminarias, tomacorrientes, interruptores, ventiladores, detector de humo y circuito cerrado) 
Pizarra.  </t>
  </si>
  <si>
    <t>3.4.2</t>
  </si>
  <si>
    <t>1 SERVICIO SANITARIO (AULA 9)</t>
  </si>
  <si>
    <t>3.4.2.1</t>
  </si>
  <si>
    <t>MODULO DE COCINA/BODEGA Y COMEDOR</t>
  </si>
  <si>
    <t>3.5.1</t>
  </si>
  <si>
    <t xml:space="preserve">CONSTRUCCION DE BODEGA, COCINA Y COMEDOR: de acuerdo a planos y especificaciones tecnicas, incluyen: suminstro de material ymano de obtra para la construccion de bodega, cocina y comedor, de acuerdo a planos y especificaciones tecnicas, (EL SISTEMA ELÉCTRICO A INSTALAR DEBE LLEVAR TUBERÍA RÍGIDA) / Incluye trampa de grasa                                                           </t>
  </si>
  <si>
    <t>OBRAS EXTERIORES</t>
  </si>
  <si>
    <t>SALÓN DE USOS MULTIPLES (SUM)</t>
  </si>
  <si>
    <t>4.1.1</t>
  </si>
  <si>
    <t>CONSTRUCCION DE SUM. INCLUYE: Fundaciones, cubiertas de techo curvo autoportante.
Canales, fascias y bajadas de aguas lluvias. Incluye tubería subterránea a cajas de aguas lluvias y sus sus accesorios. Acabados para canchas deportivas. Piso de concreto segun especificaciones tecnicas.                                                                                          Sistema electrico y luminarias. Estructura metalica (columnas, vigas, placas).</t>
  </si>
  <si>
    <t>RAMPAS DE CIRCULACIÓN</t>
  </si>
  <si>
    <t>4.2.1</t>
  </si>
  <si>
    <t xml:space="preserve">Trazo y nivelación </t>
  </si>
  <si>
    <t>4.2.2</t>
  </si>
  <si>
    <t>Suministro y colocación de relleno compactado suelo-cemento. 20:1 (c/mat. selecto).</t>
  </si>
  <si>
    <t>4.2.3</t>
  </si>
  <si>
    <t>Suministro y colocación de relleno con suelo-cemento fluido 20:1</t>
  </si>
  <si>
    <t>4.2.4</t>
  </si>
  <si>
    <t>Suministro y mano de obra para la construcción de muro de bloque, incluye excavación, soleras de fundación</t>
  </si>
  <si>
    <t>4.2.5</t>
  </si>
  <si>
    <t>Construcción de rampa de acceso, forjada y pavimentada con piso de concreto 0.07m f'c=180 kg/cm² (zona de comedor y módulo de S.S)</t>
  </si>
  <si>
    <t>4.2.6</t>
  </si>
  <si>
    <t xml:space="preserve">Suministro y aplicación de pintura de agua acrílica lavable de primera calidad, acabado mate, incluye limpieza y preparación de paredes con base. Dos manos acabado uniforme. </t>
  </si>
  <si>
    <t>4.2.7</t>
  </si>
  <si>
    <t xml:space="preserve">Barandal metálico h=1.10mts  HoGo vertical 1-1/4"@1.50+3 HoGo hotizontal de 1" </t>
  </si>
  <si>
    <t>ESTACIONAMIENTO</t>
  </si>
  <si>
    <t>4.3.1</t>
  </si>
  <si>
    <t>Parqueo de adoquin de colores, incluye trazo, relleno y compactado con material selecto.</t>
  </si>
  <si>
    <t>AREA DE ASEO</t>
  </si>
  <si>
    <t>4.4.1</t>
  </si>
  <si>
    <t>CONSTRUCCION DE 1 AREA DE ASEO, QUE INCLUYE:
Trazo, nivelacion y excavaciones para fundaciones y piso.
Fundaciones y paredes de bloque de concreto de 15cm
Cubierta de techo a techo insulado 2", Incluye estructura de soporte, Capote.
Suministro e instalación de canales, fascias y bajadas de aguas lluvias
Ventanas corredizas.
Defensas tipo cuadrícula.
Piso de concreto f'c=210kg/cm2
Repello, Afinado y Pintura  a media altura lavable y el resto acrílica.
Sistema Eléctrico incluye artefactos y dispositivos de acuerdo a especificaciones técnicas y normativa vigente. (Luminarias, tomacorrientes, interruptores)
Sistema Electrico y Luminarias.
Puertas metalicas.
Nota: Se deberá diseñar sistema hidráulico y dejar las instalaciones de red potable y aguas negras conectada a la red pública en buenas condiciones de funcionamiento.</t>
  </si>
  <si>
    <t>4.4.2</t>
  </si>
  <si>
    <t>Suministro e Instalación de pila prefabricada dos alas; incluye base, incluye tubería y accesorios de agua potable y aguas negras</t>
  </si>
  <si>
    <t>4.4.3</t>
  </si>
  <si>
    <t>Suministro e instalación de Grifo de 1/2" tipo pesado c/rosca.( en areas verdes y huerto)</t>
  </si>
  <si>
    <t>AGUAS LLUVIAS</t>
  </si>
  <si>
    <t>4.5.1</t>
  </si>
  <si>
    <t>Suministro e instalación Tuberías de PVC Ø 15", 125 PSI (Incluye Accesorios, excavación, y compactación de suelo existente)</t>
  </si>
  <si>
    <t>4.5.2</t>
  </si>
  <si>
    <t xml:space="preserve">Suministro y construcción de Caja de aguas lluvias de 0.40x0.40m (dimensiones internas) altura promedio 80cm forjada con ladrillo de barro de obra, incluye parrilla con marco de ángulo de hierro de 1 1/2" y varilla de hierro corrugada de 3/8" dos manos de pintura anticorrosiva de la mejor calidad diferentes colores, dos manos de pintura de esmalte, incluye excavación y desalojo. </t>
  </si>
  <si>
    <t>Nota: El costo debe incluir la conexión al sistema de alcantarillado. Buen funcionamiento para recepcion de obra.</t>
  </si>
  <si>
    <t>OBRAS ELÉCTRICAS EXTERIORES</t>
  </si>
  <si>
    <t>4.6.1</t>
  </si>
  <si>
    <t>Sistema eléctrico y señales débiles (aires acondicionados, interconectividad de internet, sistema de alarmas contra intrusos e incendio, equipo de bombeo). El ofertante deberá realizar el diagnóstico del sistema, de ser necesario la unificación de cargas, especificaciones técnicas, diseño, planos, aplicando el uso eficiente de la energía de acuerdo con las normativas vigentes y especificaciones técnicas del ministerio. Según el cálculo de cargas se deberá considerar:
-Subestación capacidad mínima de 37.5 KVA, incluye red de polarización.
-Alimentador principal y secundarios de acuerdo con la capacidad de corriente de carga.
-Red de polarización del tablero general.
-Tablero general y subtableros por módulo de corrientes de carga de trabajo.
-Red de interconexión subterránea y pozos de registro. - Sistema de vigilancia con circuito cerrado y camaras.
- Incluye pagos y trámites de compañía eléctrica y certificación de las instalaciones.</t>
  </si>
  <si>
    <t>S.G</t>
  </si>
  <si>
    <t>AREA RECREATIVA</t>
  </si>
  <si>
    <t>4.7.1</t>
  </si>
  <si>
    <t>Suministro e instalación de baldosas de caucho de 0.50 x 0.50 m, e = 0.02m color azul, para áreas recreativas al exterior.</t>
  </si>
  <si>
    <t>4.7.2</t>
  </si>
  <si>
    <t>Suministro e instalación de juegos infantiles para Parvularia de madera, con torre, deslizadores y columpios para un área de 4.80m x 4.80m.</t>
  </si>
  <si>
    <t>4.7.3</t>
  </si>
  <si>
    <t xml:space="preserve">Suministro e instalación de juegos infantiles para Parvularia, Casa de juegos con tobogán </t>
  </si>
  <si>
    <t>AREAS VERDES</t>
  </si>
  <si>
    <t>4.8.1</t>
  </si>
  <si>
    <t>Engramado con grama San agustín</t>
  </si>
  <si>
    <t>4.8.2</t>
  </si>
  <si>
    <t>Siembra de plantas ornamentales.</t>
  </si>
  <si>
    <t>4.8.3</t>
  </si>
  <si>
    <t>Siembra de arboles de bajo crecimiento.</t>
  </si>
  <si>
    <t>4.8.4</t>
  </si>
  <si>
    <t>4.8.5</t>
  </si>
  <si>
    <t>Suministro e instalación de lavamanos con pedal, poceta cuadrada en acero inoxidable, grifo tipo cuello de ganso incluye tubo de abasto metálico flexible y accesorios de conexión. Medidas 60.00cm de alto x 43.00cm frente x 42.00cm de fondo, poceta de 20.00cm de profundidad. incluye la conexión al sistema de abastecimiento de aguas y al sistema de alcantarillado garantizando su buen funcionamiento.</t>
  </si>
  <si>
    <t>FACHADA Y MURO PERIMETRAL</t>
  </si>
  <si>
    <t>4.9.1</t>
  </si>
  <si>
    <t>FACHADA</t>
  </si>
  <si>
    <t>4.9.1.1</t>
  </si>
  <si>
    <t xml:space="preserve">MURO FACHADA BLOQUE          Incluye:                                                                  -exacavacion y construcciones de fundaciones.                                                        -Construcion de pared de block de concreto de 20X20X40 cm, repellado, afinado y pintado.                                                                                                               -Construccion de muro </t>
  </si>
  <si>
    <t>4.9.1.2</t>
  </si>
  <si>
    <t xml:space="preserve">ACCESO PEATONAL PRINCIPAL Y ACCESO VEHICULAR.                      Incluye:                                                              -Exacavaciones y construciones de fundaciones.                                                     -Construcion de pared de block de concreto de 20X20X40 cm, repellado, afinado y pintado.                                           -Suministro e instalacion de cubierta y estructura de techo, canales, bajadas de aguas lluvias, cielo falso.                                   -Puerta de acceso peatonal y vehicular.                                                   -Sistema electrico (luminaria y timpbre) -Area de espera                                                      -Area de saneamiento (lavamanos de pedal con instalaciones hidraulicas)               -Sumintro e intalaciones de letras acrilicas y placa. </t>
  </si>
  <si>
    <t>4.10.1</t>
  </si>
  <si>
    <t>MURO PERIMETRAL</t>
  </si>
  <si>
    <t>Suministro e instalación de alambre razor de acero inoxidable, incluye tensor alambre de púas y escuadras con angulo de 1 " x 1/8" @1.50m</t>
  </si>
  <si>
    <t>4.10.1.2</t>
  </si>
  <si>
    <t xml:space="preserve">Suministro y aplicación pintura de primera calidad, acabado de alto brillo, Incluye limpieza y preparación de paredes. Dos manos de acabado uniforme. </t>
  </si>
  <si>
    <t>4.10.1.3</t>
  </si>
  <si>
    <t>Reparación de superficies metálicas: Pueden ser hierro o acero, la limpieza de la superficie con dual etch o similar para eliminar el óxido, Aplicar anticorrosivo (kromik metal primer o similar) siguiendo las instrucciones recomendadas para este producto. Se aplicarán 2 manos, No debe de dejarse el anticorrosivo sin pintar por más de dos semanas, posterior aplicación de kem lustral Enamel  o similar dos capas sucesivas para la aplicación de la segunda capa deberán transcurrir 24 horas.</t>
  </si>
  <si>
    <t>4.11.1</t>
  </si>
  <si>
    <t>ACERAS Y ARRIATES</t>
  </si>
  <si>
    <t>Piso de concreto FC = 210 Kg/cm2 ref.con electromalla 6/6 E=10 cm (en acera exterior)</t>
  </si>
  <si>
    <t>MEDIDAS AMBIENTALES Y SOCIALES</t>
  </si>
  <si>
    <t>5.1</t>
  </si>
  <si>
    <t>Medidas Ambientales (ver documento complementario PGAS)</t>
  </si>
  <si>
    <t>s/g</t>
  </si>
  <si>
    <t>5.2</t>
  </si>
  <si>
    <t>Medidas Sociales (Capacitaciones, rótulo, consultas, asambleas, oficina de queja, teléfono, buzones, etc.) (ver documento complementario PGAS)</t>
  </si>
  <si>
    <t>5.3</t>
  </si>
  <si>
    <t xml:space="preserve">Reubicacion Temporal Adecuaciones </t>
  </si>
  <si>
    <t>5.4</t>
  </si>
  <si>
    <t>Reubicacion Temporal Arrendamiento (incluye pagos de servicios basicos)</t>
  </si>
  <si>
    <t>TOTAL DE COSTOS DIRECTOS</t>
  </si>
  <si>
    <t>SUBTOTAL 1 (COSTO DIRECTO+ IMPREVISTO+COSTO INDIRECTO)</t>
  </si>
  <si>
    <t>SUBTOTAL 2 (IVA+INDIRECTOS)</t>
  </si>
  <si>
    <t>COSTO TOTAL</t>
  </si>
  <si>
    <t>Demoliciones</t>
  </si>
  <si>
    <t>Demolición y desalojo de piso de concreto existente, incluye limpieza y desalojo.</t>
  </si>
  <si>
    <t>Demolición de área de pared, incluye limpieza y desalojo.</t>
  </si>
  <si>
    <t>Desmontajes</t>
  </si>
  <si>
    <t>1.2.1</t>
  </si>
  <si>
    <t>1.2.2</t>
  </si>
  <si>
    <t>Desmontaje de cubierta</t>
  </si>
  <si>
    <t>1.2.3</t>
  </si>
  <si>
    <t>Desmontaje de estructura metálica existente</t>
  </si>
  <si>
    <t>Intervenciones en vegetación existente.</t>
  </si>
  <si>
    <t>Destronconado y desraizado de arbol existentes. Incluye desalojo y limpieza</t>
  </si>
  <si>
    <t>1.3.2</t>
  </si>
  <si>
    <t>Tala, destronconado y deraizado de arbol existente. Incluye deasalojo y limpieza.</t>
  </si>
  <si>
    <t>REHABILITACIÓN DE AULA PARVULARIA QUE INCLUYE:
Cambio de Cubierta de techo a techo insulado, Incluye limpieza y pintura estructura de soporte, Pletina y Capote.                                                                                               Desmontaje y desalojo de cielo falso e instalaciones electricas existentes.
Canales, Bajadas aguas lluvias y Fascia.
Ventanas corredizas.
Defensas tipo cuadrícula.
Piso tipo porcelanato y Zócalo.
Pintura  a media altura lavable y el resto acrílica.
Cambio Sistema Eléctrico y Luminarias.
Ventiladores
Detector de Humo
Circuito Cerrado
Pizarra y mueble</t>
  </si>
  <si>
    <t>AREA ADMINISTRATIVA m2 REHABILITACIÓN QUE INCLUYE:
Cambio de Cubierta de techo a techo insulado, Incluye limpieza y pintura de estructura de soporte, Pletina y Capote
Canales, Bajadas aguas lluvias: incluye su conexión a cajas de registro y Fascia.
Ventanas corredizas.
Defensas tipo cuadrícula.
Piso tipo porcelanato y Zócalo.
Repello, Afinado y Pintura  a media altura lavable y el resto acrilica.
Cambio Sistema Electrico, Luminarias, Tomacorrientes, Interruptores, Ventiladores.
Detector de Humo
Circuito Cerrado
Pizarra y mueble.</t>
  </si>
  <si>
    <t>REHABILITACIÓN DE SERVICIOS SANITARIOS QUE INCLUYE:
Cambio de Cubierta de techo a techo insulado, Incluye limpieza y pintura estructura de soporte, Pletina y Capote
Canales, Bajadas aguas lluvias y Fascia.
Ventanas corredizas.
Defensas tipo cuadrícula.
Piso tipo porcelanato y Zócalo Sanitario.
Repello, Afinado y Pintado.                                                                                                                                       divisiones y puertas
Azulejos
Cambio Sistema Electrico y Luminarias.
Servicios sanitarios y Urinarios Ecológicos
Servicio sanitario para Minusvalidos con lavamanos y barra
Nota: El contratisca debe asegurar la funcionalidad completa de la reparacion de los servicios sanitarios</t>
  </si>
  <si>
    <t>CONSTRUCCIONES NUEVAS</t>
  </si>
  <si>
    <t>CONSTRUCCION DE MODULO DE PARVULARIA DE ACUERDO A PLANOS Y ESPECIFICACIONES TECNICAS, INCLUYEN:  SUMINISTRO DE MATERIALES Y MANO DE OBRA PARA LA CONSTRUCCION DE PARVULARIA, QUE INCLUYEN, MÓDULO DE SERVICIOS SANITARIOS INCORPORADOS:</t>
  </si>
  <si>
    <t>sg</t>
  </si>
  <si>
    <t>-MÓDULO DE AULAS EN UN NIVEL  CON PAREDES DE BLOQUE  DE CONCRETO TIPO FACHADA SISADO AMBAS CARAS</t>
  </si>
  <si>
    <t>-CUBIERTA DE TECHO CON LÁMINA DE ALUMINIO Y ZINC CAL. 24, PREPINTADA CON NÚCLEO DE POLIURETANO DE 2", PREPINTADA COLOR BLANCO, POLINES DE TUBO ESTRUCTURAL DE 6" , HECHURA DE CEPOS</t>
  </si>
  <si>
    <t xml:space="preserve">--CANALES Y BAJADAS  DE AGUAS LLUVIAS.                                                                                   </t>
  </si>
  <si>
    <t>--VENTANAS CON ESTRUCTURA DE ALUMINIO TIPO PESADO, ANODIZADO NATURAL, VENTANA TIPO FRANCESA,  DE 5 MM</t>
  </si>
  <si>
    <t>-DEFENSAS METÁLICAS</t>
  </si>
  <si>
    <t>-PUERTAS METÁLICAS DE DOBLE FORRO</t>
  </si>
  <si>
    <t>-INSTALACIÓN DE PISO DE PORCELANATO DE 60X60 COLOR GRIS CLARO   CON ZÓCALO DE PVC (CURVA SANITARIA)</t>
  </si>
  <si>
    <t xml:space="preserve">-PINTURA COMPLETA DEL MÓDULO INTERIOR Y EXTERIOR                                                                                                                                             </t>
  </si>
  <si>
    <t>-SISTEMA ELÉCTRICO COMPLETO QUE INCLUYE, LUMINARIAS, INTERRUPTORES, TOMACORRIENTES, TABLEROS, ALAMBRADO Y CANALIZACIÓN,TABLERO Y ACOMETIDA ELÉCTRICA A CONECTAR CON TABLERO GENERAL SERVICIOS SANITARIOS PARA NIÑOS Y NIÑAS INTEGRADOS A AULAS, CONSTRUIDOS CON EL MISMO SISTEMA CONSTRUCTIVO, CON PAREDES INTERIORES ENCHAPADAS CON AZULEJOS, PISOS CON PORCELANATO ANTIDESLIZANTE, INODOROS Y MINGITORIOS INFANTILES, DUCHA, DIVISIONES DE MELÁMINA CON ESTRUCTURA DE ALUMINIO ENTRE INODOROS, TAPÓN INODORO DE 4" DE ACERO INOXIDABLE</t>
  </si>
  <si>
    <t xml:space="preserve">-LAVAMANOS INDIVIDUALES O COLECTIVOS AJUSTADO A ALTURA DE PÁRVULOS,  ENCHAPADO CON PORCELANATO COLOR GRIS Y CON BOCEL METÀLICO COLOR PLATA, GRIFOS CON CHAPETÒN CROMADOS  Y DESAGÛE CROMADO Y DISPENSADOR DE JABÒN,  DE ACUERDO A PLANOS Y ESPECIFICACIONES TÉCNICAS, (EL SISTEMA ELÉCTRICO A INSTALAR DEBE LLEVAR TUBERÍA RÍGIDA)      </t>
  </si>
  <si>
    <t>3.1.2</t>
  </si>
  <si>
    <t>CONSTRUCCIÓN DE SERVICIOS SANITARIOS QUE INCLUYE:
Fundaciones y paredes de bloque de concreto de 15cm
Cubierta de techo a techo insulado, Incluye estructura de soporte, Capote.
Canales, Bajadas aguas lluvias y Fascia.
Ventanas corredizas.
Defensas tipo cuadrícula.
Piso tipo porcelanato y Zócalo Sanitario.
Repello, Afinado y Pintado.
Azulejos
Sistema Electrico y Luminarias.
Servicios sanitarios y Urinarios Ecológicos
Servicio sanitario para Minusvalidos con lavamanos y barra
Lavamanos e instalación de mueble 
Puertas y divisiones internas enunciadas en acabados
Nota: Se deberá diseñar sistema hidráulico y dejar las instalaciones de red potable y aguas negras conectada a la red pública en buenas condiciones de funcionamiento</t>
  </si>
  <si>
    <t>3.1.3</t>
  </si>
  <si>
    <t xml:space="preserve">Construcción de bodega, cocina y comedor, de acuerdo a planos y especificaciones técnicas, incluyen: suministro de material y mano de obra para la construcción (el sistema eléctrico a instalar debe llevar tubería rígida)                                                         </t>
  </si>
  <si>
    <t>3.1.4</t>
  </si>
  <si>
    <t>Rehabilitación de Salon de Usos Multiples, Cambio de Cubierta de techo a techo insulado, Incluye limpieza y pintura estructura de soporte, Pletina y Capote
Canales, Bajadas aguas lluvias y Fascia.
Piso de concreto.
Pintura  a media altura lavable y el resto acrilica para muro de graderios.
Cambio Sistema Electrico y Luminarias.
Incluye aplicación de pintura para canchas deportivas mate, antideslizante y baja reflexión de luz</t>
  </si>
  <si>
    <t>3.1.5</t>
  </si>
  <si>
    <t>3.1.6</t>
  </si>
  <si>
    <t>Techo de pasillos principales. Cubierta de techo a techo insulado, Incluye estrucrua de soporte, pintura estructura de soporte, Pletina y Capote
Canales, Bajadas aguas lluvias y Fascia.
Sistema Electrico y Luminarias.</t>
  </si>
  <si>
    <t>OBRAS DE CONSTRUCCIÓN</t>
  </si>
  <si>
    <t>Corte en Terraza (manual) Material blando h=0.20</t>
  </si>
  <si>
    <t>Construcción de rampa de acceso de conexión entre módulos y áreas complementarios de enseñanza-aprendizaje, forjada y pavimentada con piso de concreto 0.07m f'c=180 kg/cm²</t>
  </si>
  <si>
    <t>Suministro e instalacion de piso de concreto 180 kg/cm2, Electromalla 6x6 CAL 9/9, E=7.50 cm. Para circulaciones horizontales. Incluye base de suelo cemento 20:1.</t>
  </si>
  <si>
    <t>Suministro e instalacion de piso de concreto 210 kg/cm2, Electromalla 6x6 CAL 9/9, E=7.50 cm. Para Estacionamiento. Incluye base de suelo cemento 20:1.</t>
  </si>
  <si>
    <t>Suministro y mano de obra para la construcción de muro de bloque, incluye excavación, soleras de fundación, intermedias y de coronamiento.</t>
  </si>
  <si>
    <t>Suministro e instalación de columna con tubo estructural cuadrado de 4" chapa 14. Incluye dos manos de anticorrosivo(rojo y verde) y una mano de pintura esmalte. Considerar fundación del elemento embebido en pilastra de concreto 210 kg/cm² de 0.40cm de diámetro, 20% de la dimensión del elemento embebido.</t>
  </si>
  <si>
    <t>OBRAS METÁLICAS</t>
  </si>
  <si>
    <t xml:space="preserve">Pasamanos de Ho No.3 tubos en paralelo 2" y soldados con Ho. No. 1.5" a cada 2.0 M. Según detalle adjunto. </t>
  </si>
  <si>
    <t>Suministro e Instalación de Parrilla de paso 0.50m x 1.0m, ángulo 1 1/2 x 3/16, pletina de 1 1/2" x 1/8" @ 2cms.</t>
  </si>
  <si>
    <t>CUBIERTAS</t>
  </si>
  <si>
    <t>Suministro e instalación de canal de agua lluvia con lámina galvanizada lisa # 26, resistente a la corrosión, norma ASTM A 653-M soldado y remachado, ganchos de Ho. De 1/2" a cada 0.50 m, con cañuela, acabado final exterior una mano de galvite y dos manos de pintura esmalte.</t>
  </si>
  <si>
    <t>VENTANAS Y PUERTAS</t>
  </si>
  <si>
    <t xml:space="preserve">Ventanas </t>
  </si>
  <si>
    <t>7.1.1</t>
  </si>
  <si>
    <t>Suministro e instalación de ventana corrediza, perfilería de aluminio anodizado natural pesado, y vidrio laminado claro de 6mm, incluye desmontaje de ventana existente y sello en todo el contorno exterior e interior con sellador elastomérico impermeable acrílico base agua color negro o claro. Incluye desalojo.</t>
  </si>
  <si>
    <t>7.1.2</t>
  </si>
  <si>
    <t>Hechura e instalación de defensa metálica con hierro cuadrado de 1/2", incluye dos manos de anticorrosivo, 2 diferentes colores y 1 mano de pintura esmalte.</t>
  </si>
  <si>
    <t>Puertas</t>
  </si>
  <si>
    <t>7.2.1</t>
  </si>
  <si>
    <t>ACCESO PEATONAL. Suministro e instalación de puerta doble hoja con elementos horizontales de tubo estructural de 4"x2" chapa 14, contramarco con ángulo de 1 1/2"x3/16", pintado con 2 manos de anticorrosivo y una mano de esmalte color negro, incluye 3 bisagras por hoja, chapa de parche de primera calidad. Según detalle en planos.</t>
  </si>
  <si>
    <t>7.2.2</t>
  </si>
  <si>
    <t>ACCESO VEHICULAR. Suministro e instalación de portón doble hoja con elementos horizontales de tubo estructural de 4"x2" chapa 14, marco con tubo cuadrado de 4" chapa 14 y tubo cuadrado de 4"x1/8, contramarco con ángulo de 1 1/2"x3/16", pintado con 2 manos de anticorrosivo y una mano de esmalte color negro, incluye 3 bisagras por hoja, chapa de parche de primera calidad, pasadores metálicos y candado, desmontaje de portón existente. Según detalle en planos.</t>
  </si>
  <si>
    <t>7.2.3</t>
  </si>
  <si>
    <t>Suministro e instalacion puerta abatible de una Hoja, Fabricada en Acero Rolado en Frio de 0.73 Mm G40, con refuerzo para ventanilla y manija, mocheta SR de una hoja, fabricada en acero G-40 Cal. 16, con pintura al horno con Refuerzos Internos para 3 Bisagras de 4”, cerradura de Manija G3 para Puerta Metalica de Llave /Boton, Ventana 4x27” con Marco y contramarco, vidrio claro de 7 mm. de acero rolado en frio de 0.80 Mm con tornillera interna y Sello contra humedad</t>
  </si>
  <si>
    <t xml:space="preserve">ACABADOS </t>
  </si>
  <si>
    <t>Suministro y aplicación de repello de superficies verticales hasta E=2cm, con mezcla prefabricada para repellos.</t>
  </si>
  <si>
    <t>Suministro y aplicación de afinado en superficies verticales E=2mm, con mezcla prefabricada para afinados.</t>
  </si>
  <si>
    <t xml:space="preserve">Suministro e instalación de Porcelanato de 60x60, color beige acabado mate, espesor 9 mm, pei 5, tráfico intenso. Pegamento especial para porcelanato </t>
  </si>
  <si>
    <t>Suministro e instalación de baldosas podotáctiles de 0.2 x 0.2 m, e = 0.05m, concreto resistencia 210 kg/cm2. Tipo Franjas y botones, según diseño, para señalizar caminamientos</t>
  </si>
  <si>
    <t>Suministro y aplicación pintura de primera calidad, acabado de alto brillo, Incluye limpieza y preparación de paredes. Dos manos de acabado uniforme. EXTERIOR</t>
  </si>
  <si>
    <t>Suministro e instalación de Fascia altura de 0.40m, con contramarco de cañuela de 2x1" chapa 16 y estructura de arriostramientos de tubo estructural de 2"x1"@2.44m y Refuerzos verticales de tubo 1"x1" chapa 16 @0.61 m, pintada con dos manos de anticorrosivo de diferente color; anclado a estructura de techo; incluye forro de densglass para exterior, resistente a la humedad repellada con basecoat y pintada con dos manos de pintura de agua.</t>
  </si>
  <si>
    <t>INSTALACIONES HIDRAULICAS</t>
  </si>
  <si>
    <t>AGUAS NEGRAS</t>
  </si>
  <si>
    <t>9.1.1</t>
  </si>
  <si>
    <t xml:space="preserve">Suministro e instalación de Tubería de PVC 2"  100psi, incluye accesorios para acople y conexiones, excavación, compactación. </t>
  </si>
  <si>
    <t>9.1.2</t>
  </si>
  <si>
    <t xml:space="preserve">Tubería de PVC 4" 80 psi, incluye accesorios para acople y conexiones, excavación, compactación. </t>
  </si>
  <si>
    <t>AGUA POTABLE</t>
  </si>
  <si>
    <t>9.2.1</t>
  </si>
  <si>
    <t xml:space="preserve">Suministro e instalación de Tubería de PVC 1/2"  315 psi, incluye accesorios tales como codos, uniones, tapones, tees, y cualquier otro accesorio de acople o conexión </t>
  </si>
  <si>
    <t>9.2.2</t>
  </si>
  <si>
    <t xml:space="preserve">Suministro e instalación de Tubería de PVC 3/4"  250 psi, incluye accesorios tales como codos, uniones, tapones, tees, y cualquier otro accesorio de acople o conexión </t>
  </si>
  <si>
    <t>9.2.5</t>
  </si>
  <si>
    <t>Suministro e instalación de lavamanos con pedal, poceta cuadrada en acero inoxidable, grifo tipo cuello de ganso incluye tubo de abasto metálico flexible y accesorios de conexión. Medidas 60.00cm de alto x 43.00cm frente x 42.00cm de fondo, poceta de 20.00cm de profundidad. El costo debe incluir la conexión al sistema de abastecimiento de aguas y al sistema de alcantarillado. Buen funcionamiento.</t>
  </si>
  <si>
    <t>Nota: El costo debe incluir la conexión al sistema de abastecimiento de aguas y al sistema de alcantarillado. Buen funcionamiento para recepcion de obra.</t>
  </si>
  <si>
    <t>9.3.1</t>
  </si>
  <si>
    <t>Suministro e instalación de bajadas de aguas lluvias con tubería PVC Ø 6", 100 PSI. Sujetados con cinchos de platina de 1/8"x1", fijados con tornillo goloso de 2"x10 y anclas plásticas. Incluye tubería subterránea a cajas de aguas lluvias en cancha y patio. Incluir accesorios.</t>
  </si>
  <si>
    <t>9.3.2</t>
  </si>
  <si>
    <t>9.3.3</t>
  </si>
  <si>
    <t>INSTALACIONES ELÉCTRICAS</t>
  </si>
  <si>
    <t xml:space="preserve">Sistema eléctrico y a fines (aires acondicionados, interconectividad de internet, sistema de alarmas contra intrusos e incendio). El ofertante deberá realizar el diagnóstico del sistema, de ser necesario la unificación de cargas, especificaciones técnicas, diseño, planos, aplicando el uso eficiente de la energía de acuerdo a las normativas vigentes y especificaciones del ministerio. </t>
  </si>
  <si>
    <t>s.g.</t>
  </si>
  <si>
    <t>Muro fachada, Readecuacion de muro perimetral exterior a especificaciones de mi nueva escuela, incluye:                                                                                               • Portón de acceso
• Área de espera con sus elementos
• Jardinería indicada en planos
• Letras en relieve indicadas
• Fundaciones de Muro y Columnas
• Reja metálica indicada en planos
• Techo, canales, bajadas de Aguas lluvias
• Piso de concreto</t>
  </si>
  <si>
    <t>Suministro e instlación de rótulo</t>
  </si>
  <si>
    <t>Suministro e instalación de placa</t>
  </si>
  <si>
    <t>PRECIO SIN IVA</t>
  </si>
  <si>
    <t>IMPREVISTOS (20%)</t>
  </si>
  <si>
    <t>SUMA INDIRECTO (40%)</t>
  </si>
  <si>
    <t>SUBTOTAL 1(DIR+IND)</t>
  </si>
  <si>
    <t>SUMA IVA</t>
  </si>
  <si>
    <t>ARANCELES DE CONSTRUCCION (5%)</t>
  </si>
  <si>
    <t>GRAN TOTAL (CD+IMPREVISTOS+IVA+ARACELES DE CONSTRUCCIÓN)</t>
  </si>
  <si>
    <t>INDIRECTO</t>
  </si>
  <si>
    <t>CON IVA</t>
  </si>
  <si>
    <t>SIN IVA</t>
  </si>
  <si>
    <r>
      <t>No. </t>
    </r>
    <r>
      <rPr>
        <sz val="10"/>
        <color rgb="FF000000"/>
        <rFont val="Arial"/>
        <family val="2"/>
      </rPr>
      <t> </t>
    </r>
  </si>
  <si>
    <r>
      <t>ACTIVIDAD</t>
    </r>
    <r>
      <rPr>
        <sz val="10"/>
        <color rgb="FF000000"/>
        <rFont val="Arial"/>
        <family val="2"/>
      </rPr>
      <t> </t>
    </r>
  </si>
  <si>
    <r>
      <t>COSTO TOTAL</t>
    </r>
    <r>
      <rPr>
        <sz val="10"/>
        <color rgb="FF000000"/>
        <rFont val="Arial"/>
        <family val="2"/>
      </rPr>
      <t> </t>
    </r>
  </si>
  <si>
    <t>2 </t>
  </si>
  <si>
    <t>3 </t>
  </si>
  <si>
    <t>4 </t>
  </si>
  <si>
    <t>5 </t>
  </si>
  <si>
    <t>OBRAS METALICAS</t>
  </si>
  <si>
    <t>6 </t>
  </si>
  <si>
    <t>7 </t>
  </si>
  <si>
    <t>ACABADOS</t>
  </si>
  <si>
    <t>INSTALACIONES ELECTRICAS</t>
  </si>
  <si>
    <t>SUBTOTAL COSTO DIRECTO </t>
  </si>
  <si>
    <t>COSTO INDIRECTO (35%) </t>
  </si>
  <si>
    <t>SUBTOTAL 1 (CD+IMPREVISTOS+CI)</t>
  </si>
  <si>
    <t>IVA(13%) </t>
  </si>
  <si>
    <t>SUB TOTAL 2 (SUBTOTAL 1+IVA)</t>
  </si>
  <si>
    <t>ARANCELES DE CONSTRUCCION</t>
  </si>
  <si>
    <t>GRAN TOTAL</t>
  </si>
  <si>
    <t>4.12.1</t>
  </si>
  <si>
    <t>CONSTRUCCION DE TIENDA ESCOLAR</t>
  </si>
  <si>
    <t>Tienda escolar tipo con dimensiones de 2.52 x 2.52 mts, cuenta con un area interna de 5.68 m2, con paredes internas de fibrolite, con revestimiento exterior de lámina metálica, puertas y ventanas metalicas, superficie de piso fibrolite, y cubierta de lámina troquelada zinc-aluminio. Al interior cuenta con muebles de cocina, alacena, barra de atencion y espacio para cocina, refrigeradora, micro ondas y lavatrastos. Incluye instalaciones electricas (luminarias, tomacorrientes, tableros y alimentadores) e instalaciones hidraulicas (abastecimiento de aguas potable y drenaje de aguas grises, trampa de grasas) para su correcto funcionamiento.</t>
  </si>
  <si>
    <t>S.G.</t>
  </si>
  <si>
    <t>COSTOS INDIRECTOS</t>
  </si>
  <si>
    <t>ARANCELES DE CONSTRUCCION
(PAGO CONTRA PRESENTACION DE RECIBO A NOMBRE MINEDUCYT)</t>
  </si>
  <si>
    <t xml:space="preserve">IMPREVISTOS </t>
  </si>
  <si>
    <t xml:space="preserve">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</si>
</sst>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quot;$&quot;* #,##0.00_);_(&quot;$&quot;* \(#,##0.00\);_(&quot;$&quot;* &quot;-&quot;??_);_(@_)"/>
    <numFmt numFmtId="165" formatCode="0.0"/>
    <numFmt numFmtId="166" formatCode="&quot;$&quot;#,##0.00"/>
  </numFmts>
  <fonts count="33">
    <font>
      <sz val="11"/>
      <color theme="1"/>
      <name val="Calibri"/>
      <family val="2"/>
      <scheme val="minor"/>
    </font>
    <font>
      <sz val="11"/>
      <color theme="1"/>
      <name val="Calibri"/>
      <family val="2"/>
      <scheme val="minor"/>
    </font>
    <font>
      <sz val="10"/>
      <color theme="1"/>
      <name val="Swis721 Cn BT"/>
      <family val="2"/>
    </font>
    <font>
      <sz val="10"/>
      <name val="Swis721 Cn BT"/>
      <family val="2"/>
    </font>
    <font>
      <sz val="8"/>
      <name val="Calibri"/>
      <family val="2"/>
      <scheme val="minor"/>
    </font>
    <font>
      <b/>
      <sz val="10"/>
      <color theme="0"/>
      <name val="Swis721 Cn BT"/>
      <family val="2"/>
    </font>
    <font>
      <b/>
      <sz val="18"/>
      <color theme="0"/>
      <name val="Swis721 Cn BT"/>
      <family val="2"/>
    </font>
    <font>
      <sz val="11"/>
      <name val="Swis721 Cn BT"/>
      <family val="2"/>
    </font>
    <font>
      <b/>
      <sz val="10"/>
      <name val="Swis721 Cn BT"/>
      <family val="2"/>
    </font>
    <font>
      <i/>
      <sz val="10"/>
      <name val="Swis721 Cn BT"/>
      <family val="2"/>
    </font>
    <font>
      <sz val="8"/>
      <name val="Swis721 Cn BT"/>
      <family val="2"/>
    </font>
    <font>
      <sz val="11"/>
      <color theme="0"/>
      <name val="Swis721 Cn BT"/>
      <family val="2"/>
    </font>
    <font>
      <sz val="10"/>
      <color rgb="FFFF0000"/>
      <name val="Swis721 Cn BT"/>
      <family val="2"/>
    </font>
    <font>
      <sz val="10"/>
      <name val="Arial"/>
      <family val="2"/>
    </font>
    <font>
      <i/>
      <sz val="10"/>
      <color rgb="FFFF0000"/>
      <name val="Swis721 Cn BT"/>
      <family val="2"/>
    </font>
    <font>
      <sz val="10"/>
      <color theme="1"/>
      <name val="Arial"/>
      <family val="2"/>
    </font>
    <font>
      <sz val="11"/>
      <color theme="1"/>
      <name val="Arial"/>
      <family val="2"/>
    </font>
    <font>
      <b/>
      <sz val="11"/>
      <color theme="1"/>
      <name val="Arial"/>
      <family val="2"/>
    </font>
    <font>
      <b/>
      <sz val="10"/>
      <color rgb="FF000000"/>
      <name val="Arial"/>
      <family val="2"/>
    </font>
    <font>
      <sz val="10"/>
      <color rgb="FF000000"/>
      <name val="Arial"/>
      <family val="2"/>
    </font>
    <font>
      <b/>
      <sz val="11"/>
      <color theme="1"/>
      <name val="Calibri"/>
      <family val="2"/>
      <scheme val="minor"/>
    </font>
    <font>
      <sz val="10"/>
      <name val="Arial "/>
    </font>
    <font>
      <sz val="10"/>
      <color theme="1"/>
      <name val="Arial "/>
    </font>
    <font>
      <b/>
      <sz val="10"/>
      <name val="Arial "/>
    </font>
    <font>
      <b/>
      <sz val="10"/>
      <color theme="0"/>
      <name val="Arial "/>
    </font>
    <font>
      <b/>
      <sz val="18"/>
      <color theme="0"/>
      <name val="Arial"/>
      <family val="2"/>
    </font>
    <font>
      <b/>
      <sz val="10"/>
      <color theme="0"/>
      <name val="Arial"/>
      <family val="2"/>
    </font>
    <font>
      <sz val="10"/>
      <name val="Arial"/>
      <family val="2"/>
    </font>
    <font>
      <b/>
      <sz val="10"/>
      <color theme="0"/>
      <name val="Arial"/>
      <family val="2"/>
    </font>
    <font>
      <sz val="10"/>
      <color theme="1"/>
      <name val="Arial"/>
      <family val="2"/>
    </font>
    <font>
      <i/>
      <sz val="10"/>
      <name val="Arial"/>
      <family val="2"/>
    </font>
    <font>
      <b/>
      <sz val="10"/>
      <name val="Arial"/>
      <family val="2"/>
    </font>
    <font>
      <b/>
      <sz val="10"/>
      <color theme="1"/>
      <name val="Arial"/>
      <family val="2"/>
    </font>
  </fonts>
  <fills count="9">
    <fill>
      <patternFill patternType="none"/>
    </fill>
    <fill>
      <patternFill patternType="gray125"/>
    </fill>
    <fill>
      <patternFill patternType="solid">
        <fgColor theme="3" tint="-0.249977111117893"/>
        <bgColor indexed="64"/>
      </patternFill>
    </fill>
    <fill>
      <patternFill patternType="solid">
        <fgColor rgb="FFFFFFFF"/>
        <bgColor indexed="64"/>
      </patternFill>
    </fill>
    <fill>
      <patternFill patternType="solid">
        <fgColor rgb="FFD9D9D9"/>
        <bgColor indexed="64"/>
      </patternFill>
    </fill>
    <fill>
      <patternFill patternType="solid">
        <fgColor theme="6"/>
        <bgColor indexed="64"/>
      </patternFill>
    </fill>
    <fill>
      <patternFill patternType="solid">
        <fgColor rgb="FFDAEEF3"/>
        <bgColor indexed="64"/>
      </patternFill>
    </fill>
    <fill>
      <patternFill patternType="solid">
        <fgColor theme="0" tint="-0.249977111117893"/>
        <bgColor indexed="64"/>
      </patternFill>
    </fill>
    <fill>
      <patternFill patternType="solid">
        <fgColor theme="4" tint="0.79998168889431442"/>
        <bgColor indexed="64"/>
      </patternFill>
    </fill>
  </fills>
  <borders count="50">
    <border>
      <left/>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style="medium">
        <color auto="1"/>
      </right>
      <top style="medium">
        <color auto="1"/>
      </top>
      <bottom style="double">
        <color indexed="64"/>
      </bottom>
      <diagonal/>
    </border>
    <border>
      <left style="thin">
        <color auto="1"/>
      </left>
      <right style="medium">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medium">
        <color indexed="64"/>
      </left>
      <right style="thin">
        <color auto="1"/>
      </right>
      <top/>
      <bottom/>
      <diagonal/>
    </border>
    <border>
      <left style="medium">
        <color indexed="64"/>
      </left>
      <right style="thin">
        <color auto="1"/>
      </right>
      <top/>
      <bottom style="thin">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BFBFBF"/>
      </right>
      <top style="thin">
        <color rgb="FF000000"/>
      </top>
      <bottom/>
      <diagonal/>
    </border>
    <border>
      <left/>
      <right style="thin">
        <color rgb="FFBFBFBF"/>
      </right>
      <top style="thin">
        <color rgb="FF000000"/>
      </top>
      <bottom/>
      <diagonal/>
    </border>
    <border>
      <left/>
      <right style="thin">
        <color rgb="FF000000"/>
      </right>
      <top style="thin">
        <color rgb="FF000000"/>
      </top>
      <bottom/>
      <diagonal/>
    </border>
    <border>
      <left style="thin">
        <color indexed="64"/>
      </left>
      <right style="thin">
        <color auto="1"/>
      </right>
      <top/>
      <bottom/>
      <diagonal/>
    </border>
    <border>
      <left style="thin">
        <color auto="1"/>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215">
    <xf numFmtId="0" fontId="0" fillId="0" borderId="0" xfId="0"/>
    <xf numFmtId="164" fontId="5" fillId="2" borderId="10" xfId="0" applyNumberFormat="1" applyFont="1" applyFill="1" applyBorder="1" applyAlignment="1">
      <alignment vertical="center" wrapText="1"/>
    </xf>
    <xf numFmtId="0" fontId="7" fillId="0" borderId="0" xfId="0" applyFont="1"/>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2" fontId="8" fillId="4" borderId="8" xfId="0" applyNumberFormat="1" applyFont="1" applyFill="1" applyBorder="1" applyAlignment="1">
      <alignment horizontal="center" vertical="center" wrapText="1"/>
    </xf>
    <xf numFmtId="0" fontId="8" fillId="4" borderId="9" xfId="0" applyFont="1" applyFill="1" applyBorder="1" applyAlignment="1">
      <alignment horizontal="center" vertical="center" wrapText="1"/>
    </xf>
    <xf numFmtId="0" fontId="3" fillId="0" borderId="2" xfId="0" applyFont="1" applyBorder="1" applyAlignment="1">
      <alignment horizontal="center" vertical="center" wrapText="1"/>
    </xf>
    <xf numFmtId="2" fontId="3" fillId="0" borderId="3" xfId="0" applyNumberFormat="1" applyFont="1" applyBorder="1" applyAlignment="1">
      <alignment horizontal="center" vertical="center" wrapText="1"/>
    </xf>
    <xf numFmtId="44" fontId="3" fillId="0" borderId="3" xfId="1" applyFont="1" applyFill="1" applyBorder="1" applyAlignment="1">
      <alignment horizontal="justify" vertical="center" wrapText="1"/>
    </xf>
    <xf numFmtId="0" fontId="3" fillId="0" borderId="3" xfId="0" applyFont="1" applyBorder="1" applyAlignment="1">
      <alignment horizontal="justify" vertical="center" wrapText="1"/>
    </xf>
    <xf numFmtId="44" fontId="3" fillId="0" borderId="3" xfId="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2" fontId="3" fillId="0" borderId="6" xfId="0" applyNumberFormat="1" applyFont="1" applyBorder="1" applyAlignment="1">
      <alignment horizontal="center" vertical="center" wrapText="1"/>
    </xf>
    <xf numFmtId="2" fontId="7" fillId="0" borderId="0" xfId="0" applyNumberFormat="1" applyFont="1"/>
    <xf numFmtId="0" fontId="11" fillId="0" borderId="0" xfId="0" applyFont="1"/>
    <xf numFmtId="0" fontId="7" fillId="0" borderId="0" xfId="0" applyFont="1" applyAlignment="1">
      <alignment horizontal="center"/>
    </xf>
    <xf numFmtId="0" fontId="7" fillId="0" borderId="14" xfId="0" applyFont="1" applyBorder="1" applyAlignment="1">
      <alignment horizontal="center"/>
    </xf>
    <xf numFmtId="0" fontId="3" fillId="0" borderId="3" xfId="0" applyFont="1" applyBorder="1" applyAlignment="1">
      <alignment vertical="center" wrapText="1"/>
    </xf>
    <xf numFmtId="0" fontId="3" fillId="0" borderId="5" xfId="0" applyFont="1" applyBorder="1" applyAlignment="1">
      <alignment horizontal="center" vertical="center" wrapText="1"/>
    </xf>
    <xf numFmtId="165" fontId="5" fillId="2" borderId="5" xfId="0" applyNumberFormat="1" applyFont="1" applyFill="1" applyBorder="1" applyAlignment="1">
      <alignment horizontal="center" vertical="center" wrapText="1"/>
    </xf>
    <xf numFmtId="164" fontId="5" fillId="2" borderId="14" xfId="0" applyNumberFormat="1" applyFont="1" applyFill="1" applyBorder="1" applyAlignment="1">
      <alignment vertical="center" wrapText="1"/>
    </xf>
    <xf numFmtId="0" fontId="3" fillId="0" borderId="3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 xfId="0" applyFont="1" applyBorder="1" applyAlignment="1">
      <alignment horizontal="justify" vertical="center" wrapText="1"/>
    </xf>
    <xf numFmtId="0" fontId="2" fillId="0" borderId="3" xfId="0" applyFont="1" applyBorder="1" applyAlignment="1">
      <alignment horizontal="left" vertical="center" wrapText="1"/>
    </xf>
    <xf numFmtId="2" fontId="3" fillId="0" borderId="3" xfId="0" applyNumberFormat="1" applyFont="1" applyBorder="1" applyAlignment="1">
      <alignment horizontal="center" vertical="center"/>
    </xf>
    <xf numFmtId="0" fontId="16" fillId="5" borderId="36" xfId="0" applyFont="1" applyFill="1" applyBorder="1" applyAlignment="1">
      <alignment vertical="center"/>
    </xf>
    <xf numFmtId="0" fontId="15" fillId="0" borderId="0" xfId="0" applyFont="1"/>
    <xf numFmtId="44" fontId="15" fillId="0" borderId="0" xfId="0" applyNumberFormat="1" applyFont="1"/>
    <xf numFmtId="44" fontId="16" fillId="0" borderId="42" xfId="0" applyNumberFormat="1" applyFont="1" applyBorder="1" applyAlignment="1">
      <alignment vertical="center"/>
    </xf>
    <xf numFmtId="44" fontId="16" fillId="5" borderId="36" xfId="0" applyNumberFormat="1" applyFont="1" applyFill="1" applyBorder="1" applyAlignment="1">
      <alignment vertical="center"/>
    </xf>
    <xf numFmtId="44" fontId="17" fillId="5" borderId="36" xfId="0" applyNumberFormat="1" applyFont="1" applyFill="1" applyBorder="1" applyAlignment="1">
      <alignment vertical="center"/>
    </xf>
    <xf numFmtId="0" fontId="18" fillId="6" borderId="43" xfId="0" applyFont="1" applyFill="1" applyBorder="1" applyAlignment="1">
      <alignment wrapText="1"/>
    </xf>
    <xf numFmtId="0" fontId="18" fillId="6" borderId="44" xfId="0" applyFont="1" applyFill="1" applyBorder="1" applyAlignment="1">
      <alignment wrapText="1"/>
    </xf>
    <xf numFmtId="0" fontId="18" fillId="6" borderId="45" xfId="0" applyFont="1" applyFill="1" applyBorder="1" applyAlignment="1">
      <alignment wrapText="1"/>
    </xf>
    <xf numFmtId="0" fontId="19" fillId="0" borderId="3" xfId="0" applyFont="1" applyBorder="1" applyAlignment="1">
      <alignment horizontal="center" vertical="center" wrapText="1"/>
    </xf>
    <xf numFmtId="0" fontId="19" fillId="0" borderId="3" xfId="0" applyFont="1" applyBorder="1" applyAlignment="1">
      <alignment wrapText="1"/>
    </xf>
    <xf numFmtId="166" fontId="19" fillId="0" borderId="3" xfId="1" applyNumberFormat="1" applyFont="1" applyBorder="1" applyAlignment="1">
      <alignment wrapText="1"/>
    </xf>
    <xf numFmtId="0" fontId="19" fillId="3" borderId="3" xfId="0" applyFont="1" applyFill="1" applyBorder="1" applyAlignment="1">
      <alignment horizontal="center" vertical="center" wrapText="1"/>
    </xf>
    <xf numFmtId="0" fontId="19" fillId="3" borderId="3" xfId="0" applyFont="1" applyFill="1" applyBorder="1" applyAlignment="1">
      <alignment wrapText="1"/>
    </xf>
    <xf numFmtId="0" fontId="20" fillId="0" borderId="3" xfId="0" applyFont="1" applyBorder="1" applyAlignment="1">
      <alignment horizontal="right"/>
    </xf>
    <xf numFmtId="44" fontId="0" fillId="0" borderId="3" xfId="1" applyFont="1" applyBorder="1"/>
    <xf numFmtId="0" fontId="1" fillId="0" borderId="3" xfId="0" applyFont="1" applyBorder="1"/>
    <xf numFmtId="166" fontId="0" fillId="0" borderId="3" xfId="0" applyNumberFormat="1" applyBorder="1"/>
    <xf numFmtId="0" fontId="0" fillId="0" borderId="3" xfId="0" applyBorder="1"/>
    <xf numFmtId="44" fontId="0" fillId="0" borderId="3" xfId="0" applyNumberFormat="1" applyBorder="1"/>
    <xf numFmtId="164" fontId="0" fillId="0" borderId="3" xfId="0" applyNumberFormat="1" applyBorder="1"/>
    <xf numFmtId="0" fontId="8" fillId="0" borderId="14" xfId="0" applyFont="1" applyBorder="1" applyAlignment="1">
      <alignment horizontal="center" vertical="center" wrapText="1"/>
    </xf>
    <xf numFmtId="44" fontId="13" fillId="0" borderId="3" xfId="1" applyFont="1" applyFill="1" applyBorder="1" applyAlignment="1">
      <alignment horizontal="justify" vertical="center" wrapText="1"/>
    </xf>
    <xf numFmtId="0" fontId="15" fillId="0" borderId="0" xfId="0" applyFont="1" applyAlignment="1">
      <alignment wrapText="1"/>
    </xf>
    <xf numFmtId="0" fontId="7" fillId="0" borderId="0" xfId="0" applyFont="1" applyAlignment="1">
      <alignment wrapText="1"/>
    </xf>
    <xf numFmtId="0" fontId="7" fillId="0" borderId="3" xfId="0" applyFont="1" applyBorder="1" applyAlignment="1">
      <alignment wrapText="1"/>
    </xf>
    <xf numFmtId="0" fontId="10" fillId="0" borderId="2" xfId="0" applyFont="1" applyBorder="1" applyAlignment="1">
      <alignment horizontal="center" wrapText="1"/>
    </xf>
    <xf numFmtId="0" fontId="3" fillId="0" borderId="3" xfId="0" applyFont="1" applyBorder="1" applyAlignment="1">
      <alignment wrapText="1"/>
    </xf>
    <xf numFmtId="44" fontId="3" fillId="0" borderId="3" xfId="1" applyFont="1" applyFill="1" applyBorder="1" applyAlignment="1">
      <alignment horizontal="center" vertical="center"/>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3" fillId="0" borderId="3" xfId="0" applyFont="1" applyBorder="1" applyAlignment="1">
      <alignment horizontal="center" vertical="center" wrapText="1"/>
    </xf>
    <xf numFmtId="2" fontId="13" fillId="0" borderId="3" xfId="0" applyNumberFormat="1" applyFont="1" applyBorder="1" applyAlignment="1">
      <alignment horizontal="center" vertical="center" wrapText="1"/>
    </xf>
    <xf numFmtId="0" fontId="13" fillId="0" borderId="3" xfId="0" applyFont="1" applyBorder="1" applyAlignment="1">
      <alignment horizontal="justify" vertical="center" wrapText="1"/>
    </xf>
    <xf numFmtId="0" fontId="14" fillId="0" borderId="23" xfId="0" applyFont="1" applyBorder="1" applyAlignment="1">
      <alignment vertical="center" wrapText="1"/>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48" xfId="0" applyFont="1" applyBorder="1" applyAlignment="1">
      <alignment horizontal="center" vertical="center" wrapText="1"/>
    </xf>
    <xf numFmtId="0" fontId="10" fillId="0" borderId="22" xfId="0" applyFont="1" applyBorder="1" applyAlignment="1">
      <alignment wrapText="1"/>
    </xf>
    <xf numFmtId="0" fontId="3" fillId="0" borderId="3" xfId="0" applyFont="1" applyBorder="1" applyAlignment="1">
      <alignment horizontal="justify" vertical="center"/>
    </xf>
    <xf numFmtId="44" fontId="3" fillId="0" borderId="0" xfId="1" applyFont="1" applyFill="1" applyBorder="1" applyAlignment="1">
      <alignment horizontal="justify" vertical="center" wrapText="1"/>
    </xf>
    <xf numFmtId="0" fontId="3" fillId="0" borderId="0" xfId="0" applyFont="1" applyAlignment="1">
      <alignment vertical="center" wrapText="1"/>
    </xf>
    <xf numFmtId="43" fontId="15" fillId="0" borderId="0" xfId="0" applyNumberFormat="1" applyFont="1"/>
    <xf numFmtId="0" fontId="21" fillId="0" borderId="3" xfId="0" applyFont="1" applyBorder="1" applyAlignment="1">
      <alignment horizontal="center" vertical="center" wrapText="1"/>
    </xf>
    <xf numFmtId="2" fontId="21" fillId="0" borderId="3" xfId="0" applyNumberFormat="1" applyFont="1" applyBorder="1" applyAlignment="1">
      <alignment horizontal="center" vertical="center" wrapText="1"/>
    </xf>
    <xf numFmtId="0" fontId="21" fillId="0" borderId="3" xfId="0" applyFont="1" applyBorder="1" applyAlignment="1">
      <alignment horizontal="justify" vertical="center" wrapText="1"/>
    </xf>
    <xf numFmtId="2" fontId="22" fillId="0" borderId="3" xfId="0" applyNumberFormat="1" applyFont="1" applyBorder="1" applyAlignment="1">
      <alignment horizontal="center" vertical="center" wrapText="1"/>
    </xf>
    <xf numFmtId="0" fontId="21" fillId="0" borderId="3" xfId="0" applyFont="1" applyBorder="1" applyAlignment="1">
      <alignment horizontal="left" vertical="center" wrapText="1"/>
    </xf>
    <xf numFmtId="0" fontId="21" fillId="3" borderId="3" xfId="0" applyFont="1" applyFill="1" applyBorder="1" applyAlignment="1">
      <alignment horizontal="center" vertical="center" wrapText="1"/>
    </xf>
    <xf numFmtId="0" fontId="23" fillId="4" borderId="3" xfId="0" applyFont="1" applyFill="1" applyBorder="1" applyAlignment="1">
      <alignment horizontal="center" vertical="center" wrapText="1"/>
    </xf>
    <xf numFmtId="2" fontId="23" fillId="4" borderId="3" xfId="0" applyNumberFormat="1" applyFont="1" applyFill="1" applyBorder="1" applyAlignment="1">
      <alignment horizontal="center" vertical="center" wrapText="1"/>
    </xf>
    <xf numFmtId="165" fontId="24" fillId="2" borderId="3" xfId="0" applyNumberFormat="1" applyFont="1" applyFill="1" applyBorder="1" applyAlignment="1">
      <alignment horizontal="center" vertical="center" wrapText="1"/>
    </xf>
    <xf numFmtId="164" fontId="24" fillId="2" borderId="3" xfId="0" applyNumberFormat="1" applyFont="1" applyFill="1" applyBorder="1" applyAlignment="1">
      <alignment vertical="center" wrapText="1"/>
    </xf>
    <xf numFmtId="0" fontId="21" fillId="7" borderId="3"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7" fillId="3" borderId="3" xfId="0" applyFont="1" applyFill="1" applyBorder="1" applyAlignment="1">
      <alignment horizontal="justify" vertical="center" wrapText="1"/>
    </xf>
    <xf numFmtId="0" fontId="27" fillId="3" borderId="3" xfId="0" applyFont="1" applyFill="1" applyBorder="1" applyAlignment="1">
      <alignment horizontal="center" vertical="center" wrapText="1"/>
    </xf>
    <xf numFmtId="2" fontId="27" fillId="3" borderId="3" xfId="0" applyNumberFormat="1" applyFont="1" applyFill="1" applyBorder="1" applyAlignment="1">
      <alignment horizontal="center" vertical="center" wrapText="1"/>
    </xf>
    <xf numFmtId="0" fontId="27" fillId="0" borderId="3" xfId="0" applyFont="1" applyBorder="1" applyAlignment="1">
      <alignment horizontal="center" vertical="center" wrapText="1"/>
    </xf>
    <xf numFmtId="0" fontId="27" fillId="0" borderId="3" xfId="0" applyFont="1" applyBorder="1" applyAlignment="1">
      <alignment horizontal="justify" vertical="center" wrapText="1"/>
    </xf>
    <xf numFmtId="2" fontId="27" fillId="0" borderId="3" xfId="0" applyNumberFormat="1" applyFont="1" applyBorder="1" applyAlignment="1">
      <alignment horizontal="center" vertical="center" wrapText="1"/>
    </xf>
    <xf numFmtId="0" fontId="27" fillId="0" borderId="3" xfId="0" applyFont="1" applyBorder="1" applyAlignment="1">
      <alignment horizontal="left" vertical="center" wrapText="1"/>
    </xf>
    <xf numFmtId="44" fontId="27" fillId="0" borderId="3" xfId="1" applyFont="1" applyFill="1" applyBorder="1" applyAlignment="1">
      <alignment horizontal="center" vertical="center" wrapText="1"/>
    </xf>
    <xf numFmtId="2" fontId="27" fillId="0" borderId="3" xfId="0" applyNumberFormat="1" applyFont="1" applyBorder="1" applyAlignment="1">
      <alignment horizontal="center" vertical="center"/>
    </xf>
    <xf numFmtId="0" fontId="27" fillId="0" borderId="3" xfId="0" applyFont="1" applyBorder="1" applyAlignment="1">
      <alignment horizontal="justify" vertical="center"/>
    </xf>
    <xf numFmtId="0" fontId="30" fillId="0" borderId="3" xfId="0" applyFont="1" applyBorder="1" applyAlignment="1">
      <alignment horizontal="center" vertical="center" wrapText="1"/>
    </xf>
    <xf numFmtId="0" fontId="29" fillId="0" borderId="3" xfId="0" applyFont="1" applyBorder="1" applyAlignment="1">
      <alignment horizontal="justify" vertical="center" wrapText="1"/>
    </xf>
    <xf numFmtId="0" fontId="29" fillId="0" borderId="3" xfId="0" applyFont="1" applyBorder="1" applyAlignment="1">
      <alignment horizontal="center" vertical="center" wrapText="1"/>
    </xf>
    <xf numFmtId="2" fontId="29" fillId="0" borderId="3" xfId="0" applyNumberFormat="1" applyFont="1" applyBorder="1" applyAlignment="1">
      <alignment horizontal="center" vertical="center" wrapText="1"/>
    </xf>
    <xf numFmtId="0" fontId="29" fillId="0" borderId="3" xfId="0" applyFont="1" applyBorder="1" applyAlignment="1">
      <alignment horizontal="left" vertical="center" wrapText="1"/>
    </xf>
    <xf numFmtId="165" fontId="28" fillId="2" borderId="3" xfId="0" applyNumberFormat="1" applyFont="1" applyFill="1" applyBorder="1" applyAlignment="1">
      <alignment horizontal="center" vertical="center" wrapText="1"/>
    </xf>
    <xf numFmtId="164" fontId="28" fillId="2" borderId="3" xfId="0" applyNumberFormat="1" applyFont="1" applyFill="1" applyBorder="1" applyAlignment="1">
      <alignment vertical="center" wrapText="1"/>
    </xf>
    <xf numFmtId="44" fontId="21" fillId="0" borderId="3" xfId="1" applyFont="1" applyFill="1" applyBorder="1" applyAlignment="1">
      <alignment horizontal="left" vertical="center" wrapText="1"/>
    </xf>
    <xf numFmtId="44" fontId="21" fillId="0" borderId="3" xfId="1" applyFont="1" applyBorder="1" applyAlignment="1">
      <alignment horizontal="left" vertical="center" wrapText="1"/>
    </xf>
    <xf numFmtId="44" fontId="21" fillId="0" borderId="3" xfId="1" applyFont="1" applyFill="1" applyBorder="1" applyAlignment="1">
      <alignment horizontal="left" vertical="center"/>
    </xf>
    <xf numFmtId="44" fontId="21" fillId="0" borderId="3" xfId="1" applyFont="1" applyBorder="1" applyAlignment="1">
      <alignment horizontal="left" vertical="center"/>
    </xf>
    <xf numFmtId="44" fontId="22" fillId="0" borderId="3" xfId="1" applyFont="1" applyFill="1" applyBorder="1" applyAlignment="1">
      <alignment horizontal="left" vertical="center" wrapText="1"/>
    </xf>
    <xf numFmtId="44" fontId="27" fillId="3" borderId="3" xfId="1" applyFont="1" applyFill="1" applyBorder="1" applyAlignment="1">
      <alignment horizontal="left" vertical="center" wrapText="1"/>
    </xf>
    <xf numFmtId="44" fontId="27" fillId="0" borderId="3" xfId="1" applyFont="1" applyFill="1" applyBorder="1" applyAlignment="1">
      <alignment horizontal="left" vertical="center" wrapText="1"/>
    </xf>
    <xf numFmtId="44" fontId="27" fillId="0" borderId="3" xfId="1" applyFont="1" applyFill="1" applyBorder="1" applyAlignment="1">
      <alignment horizontal="left" vertical="center"/>
    </xf>
    <xf numFmtId="44" fontId="29" fillId="0" borderId="3" xfId="0" applyNumberFormat="1" applyFont="1" applyBorder="1" applyAlignment="1">
      <alignment horizontal="left" vertical="center"/>
    </xf>
    <xf numFmtId="44" fontId="32" fillId="8" borderId="3" xfId="0" applyNumberFormat="1" applyFont="1" applyFill="1" applyBorder="1" applyAlignment="1">
      <alignment horizontal="left" vertical="center"/>
    </xf>
    <xf numFmtId="2" fontId="27" fillId="7" borderId="3" xfId="0" applyNumberFormat="1" applyFont="1" applyFill="1" applyBorder="1" applyAlignment="1">
      <alignment horizontal="center" vertical="center" wrapText="1"/>
    </xf>
    <xf numFmtId="0" fontId="13" fillId="0" borderId="36" xfId="0" applyFont="1" applyBorder="1" applyAlignment="1">
      <alignment horizontal="center" vertical="center" wrapText="1"/>
    </xf>
    <xf numFmtId="2" fontId="13" fillId="0" borderId="36" xfId="0" applyNumberFormat="1" applyFont="1" applyBorder="1" applyAlignment="1">
      <alignment horizontal="center" vertical="center" wrapText="1"/>
    </xf>
    <xf numFmtId="44" fontId="15" fillId="0" borderId="36" xfId="1" applyFont="1" applyBorder="1" applyAlignment="1">
      <alignment horizontal="left" vertical="center" wrapText="1"/>
    </xf>
    <xf numFmtId="164" fontId="24"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0" fontId="21" fillId="7" borderId="3" xfId="0" applyFont="1" applyFill="1" applyBorder="1" applyAlignment="1">
      <alignment horizontal="left" vertical="top" wrapText="1"/>
    </xf>
    <xf numFmtId="0" fontId="25" fillId="2" borderId="33" xfId="2" applyFont="1" applyFill="1" applyBorder="1" applyAlignment="1">
      <alignment horizontal="center" vertical="center"/>
    </xf>
    <xf numFmtId="0" fontId="25" fillId="2" borderId="34" xfId="2" applyFont="1" applyFill="1" applyBorder="1" applyAlignment="1">
      <alignment horizontal="center" vertical="center"/>
    </xf>
    <xf numFmtId="0" fontId="25" fillId="2" borderId="35" xfId="2" applyFont="1" applyFill="1" applyBorder="1" applyAlignment="1">
      <alignment horizontal="center" vertical="center"/>
    </xf>
    <xf numFmtId="0" fontId="26" fillId="2" borderId="47"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4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21" xfId="0" applyFont="1" applyFill="1" applyBorder="1" applyAlignment="1">
      <alignment horizontal="center" vertical="center" wrapText="1"/>
    </xf>
    <xf numFmtId="0" fontId="24" fillId="2" borderId="3" xfId="0" applyFont="1" applyFill="1" applyBorder="1" applyAlignment="1">
      <alignment horizontal="left" vertical="center" wrapText="1"/>
    </xf>
    <xf numFmtId="0" fontId="21" fillId="0" borderId="3" xfId="0" applyFont="1" applyBorder="1" applyAlignment="1">
      <alignment horizontal="left" vertical="center" wrapText="1"/>
    </xf>
    <xf numFmtId="0" fontId="21" fillId="3" borderId="3" xfId="0" applyFont="1" applyFill="1" applyBorder="1" applyAlignment="1">
      <alignment horizontal="left" vertical="top" wrapText="1"/>
    </xf>
    <xf numFmtId="0" fontId="32" fillId="8" borderId="3" xfId="0" applyFont="1" applyFill="1" applyBorder="1" applyAlignment="1">
      <alignment horizontal="right" vertical="center"/>
    </xf>
    <xf numFmtId="0" fontId="21" fillId="7" borderId="3" xfId="0" applyFont="1" applyFill="1" applyBorder="1" applyAlignment="1">
      <alignment horizontal="left" vertical="center" wrapText="1"/>
    </xf>
    <xf numFmtId="0" fontId="27" fillId="7" borderId="3" xfId="0" applyFont="1" applyFill="1" applyBorder="1" applyAlignment="1">
      <alignment horizontal="left" vertical="top" wrapText="1"/>
    </xf>
    <xf numFmtId="0" fontId="31" fillId="0" borderId="3" xfId="0" applyFont="1" applyBorder="1" applyAlignment="1">
      <alignment horizontal="right" vertical="center" wrapText="1"/>
    </xf>
    <xf numFmtId="0" fontId="28" fillId="2" borderId="3" xfId="0" applyFont="1" applyFill="1" applyBorder="1" applyAlignment="1">
      <alignment horizontal="left" vertical="center" wrapText="1"/>
    </xf>
    <xf numFmtId="0" fontId="32" fillId="0" borderId="3" xfId="0" applyFont="1" applyBorder="1" applyAlignment="1">
      <alignment horizontal="right" vertical="center"/>
    </xf>
    <xf numFmtId="0" fontId="27" fillId="0" borderId="3" xfId="0" applyFont="1" applyBorder="1" applyAlignment="1">
      <alignment horizontal="left" vertical="top" wrapText="1"/>
    </xf>
    <xf numFmtId="0" fontId="27" fillId="0" borderId="3" xfId="0" applyFont="1" applyBorder="1" applyAlignment="1">
      <alignment horizontal="left" vertical="center" wrapText="1"/>
    </xf>
    <xf numFmtId="0" fontId="21" fillId="0" borderId="3" xfId="0" applyFont="1" applyBorder="1" applyAlignment="1">
      <alignment horizontal="left" vertical="top" wrapText="1"/>
    </xf>
    <xf numFmtId="164" fontId="28" fillId="0" borderId="3" xfId="0" applyNumberFormat="1" applyFont="1" applyBorder="1" applyAlignment="1">
      <alignment horizontal="center" vertical="center" wrapText="1"/>
    </xf>
    <xf numFmtId="164" fontId="28" fillId="0" borderId="6" xfId="0" applyNumberFormat="1" applyFont="1" applyBorder="1" applyAlignment="1">
      <alignment horizontal="center" vertical="center" wrapText="1"/>
    </xf>
    <xf numFmtId="164" fontId="28" fillId="0" borderId="46" xfId="0" applyNumberFormat="1" applyFont="1" applyBorder="1" applyAlignment="1">
      <alignment horizontal="center" vertical="center" wrapText="1"/>
    </xf>
    <xf numFmtId="164" fontId="28" fillId="0" borderId="49" xfId="0" applyNumberFormat="1" applyFont="1" applyBorder="1" applyAlignment="1">
      <alignment horizontal="center" vertical="center" wrapText="1"/>
    </xf>
    <xf numFmtId="0" fontId="9" fillId="0" borderId="31" xfId="0" applyFont="1" applyBorder="1" applyAlignment="1">
      <alignment horizontal="left" vertical="top" wrapText="1"/>
    </xf>
    <xf numFmtId="0" fontId="3" fillId="0" borderId="3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9" fillId="0" borderId="3" xfId="0" applyFont="1" applyBorder="1" applyAlignment="1">
      <alignment horizontal="left" vertical="top" wrapText="1"/>
    </xf>
    <xf numFmtId="0" fontId="12" fillId="0" borderId="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6" fillId="2" borderId="15" xfId="2" applyFont="1" applyFill="1" applyBorder="1" applyAlignment="1">
      <alignment horizontal="center" vertical="center"/>
    </xf>
    <xf numFmtId="0" fontId="6" fillId="2" borderId="16" xfId="2" applyFont="1" applyFill="1" applyBorder="1" applyAlignment="1">
      <alignment horizontal="center" vertical="center"/>
    </xf>
    <xf numFmtId="0" fontId="6" fillId="2" borderId="17" xfId="2"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8" xfId="0" applyFont="1" applyFill="1" applyBorder="1" applyAlignment="1">
      <alignment horizontal="center"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2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6" xfId="0" applyFont="1" applyBorder="1" applyAlignment="1">
      <alignment horizontal="center" vertical="center" wrapText="1"/>
    </xf>
    <xf numFmtId="2" fontId="15" fillId="0" borderId="6" xfId="0" applyNumberFormat="1" applyFont="1" applyBorder="1" applyAlignment="1">
      <alignment horizontal="center" vertical="center" wrapText="1"/>
    </xf>
    <xf numFmtId="2" fontId="15" fillId="0" borderId="46" xfId="0" applyNumberFormat="1" applyFont="1" applyBorder="1" applyAlignment="1">
      <alignment horizontal="center" vertical="center" wrapText="1"/>
    </xf>
    <xf numFmtId="44" fontId="15" fillId="0" borderId="6" xfId="1" applyFont="1" applyFill="1" applyBorder="1" applyAlignment="1">
      <alignment horizontal="center" vertical="center" wrapText="1"/>
    </xf>
    <xf numFmtId="44" fontId="15" fillId="0" borderId="46" xfId="1" applyFont="1" applyFill="1" applyBorder="1" applyAlignment="1">
      <alignment horizontal="center" vertical="center" wrapText="1"/>
    </xf>
    <xf numFmtId="0" fontId="7" fillId="0" borderId="13" xfId="0" applyFont="1" applyBorder="1" applyAlignment="1">
      <alignment horizontal="center"/>
    </xf>
    <xf numFmtId="0" fontId="7" fillId="0" borderId="14" xfId="0" applyFont="1" applyBorder="1" applyAlignment="1">
      <alignment horizontal="center"/>
    </xf>
    <xf numFmtId="164" fontId="5" fillId="0" borderId="13"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8"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8" fillId="0" borderId="4"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3" fillId="0" borderId="3" xfId="0" applyFont="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164" fontId="5" fillId="0" borderId="10" xfId="0" applyNumberFormat="1"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16" fillId="5" borderId="37" xfId="0" applyFont="1" applyFill="1" applyBorder="1" applyAlignment="1">
      <alignment horizontal="right" vertical="center"/>
    </xf>
    <xf numFmtId="0" fontId="16" fillId="5" borderId="38" xfId="0" applyFont="1" applyFill="1" applyBorder="1" applyAlignment="1">
      <alignment horizontal="right" vertical="center"/>
    </xf>
    <xf numFmtId="0" fontId="16" fillId="5" borderId="39" xfId="0" applyFont="1" applyFill="1" applyBorder="1" applyAlignment="1">
      <alignment horizontal="right" vertical="center"/>
    </xf>
    <xf numFmtId="0" fontId="3" fillId="0" borderId="3" xfId="0" applyFont="1" applyBorder="1" applyAlignment="1">
      <alignment horizontal="center" vertical="center" wrapText="1"/>
    </xf>
    <xf numFmtId="0" fontId="16" fillId="5" borderId="40" xfId="0" applyFont="1" applyFill="1" applyBorder="1" applyAlignment="1">
      <alignment horizontal="center" vertical="center"/>
    </xf>
    <xf numFmtId="0" fontId="16" fillId="5" borderId="41" xfId="0" applyFont="1" applyFill="1" applyBorder="1" applyAlignment="1">
      <alignment horizontal="center" vertical="center"/>
    </xf>
    <xf numFmtId="0" fontId="16" fillId="5" borderId="40" xfId="0" applyFont="1" applyFill="1" applyBorder="1" applyAlignment="1">
      <alignment horizontal="right" vertical="center"/>
    </xf>
    <xf numFmtId="0" fontId="16" fillId="5" borderId="11" xfId="0" applyFont="1" applyFill="1" applyBorder="1" applyAlignment="1">
      <alignment horizontal="right" vertical="center"/>
    </xf>
    <xf numFmtId="0" fontId="16" fillId="5" borderId="41" xfId="0" applyFont="1" applyFill="1" applyBorder="1" applyAlignment="1">
      <alignment horizontal="right" vertical="center"/>
    </xf>
    <xf numFmtId="44" fontId="3" fillId="0" borderId="6" xfId="1" applyFont="1" applyFill="1" applyBorder="1" applyAlignment="1">
      <alignment horizontal="center" vertical="center" wrapText="1"/>
    </xf>
    <xf numFmtId="44" fontId="3" fillId="0" borderId="46" xfId="1" applyFont="1" applyFill="1" applyBorder="1" applyAlignment="1">
      <alignment horizontal="center" vertical="center" wrapText="1"/>
    </xf>
    <xf numFmtId="44" fontId="3" fillId="0" borderId="49" xfId="1" applyFont="1" applyFill="1" applyBorder="1" applyAlignment="1">
      <alignment horizontal="center" vertical="center" wrapText="1"/>
    </xf>
  </cellXfs>
  <cellStyles count="3">
    <cellStyle name="Moneda" xfId="1" builtinId="4"/>
    <cellStyle name="Normal" xfId="0" builtinId="0"/>
    <cellStyle name="Normal 5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0"/>
  <sheetViews>
    <sheetView tabSelected="1" view="pageBreakPreview" zoomScale="90" zoomScaleNormal="55" zoomScaleSheetLayoutView="90" workbookViewId="0">
      <selection activeCell="A121" sqref="A121:F121"/>
    </sheetView>
  </sheetViews>
  <sheetFormatPr baseColWidth="10" defaultColWidth="11.54296875" defaultRowHeight="14.25" customHeight="1"/>
  <cols>
    <col min="1" max="1" width="9.90625" style="17" customWidth="1"/>
    <col min="2" max="2" width="63.36328125" style="2" customWidth="1"/>
    <col min="3" max="3" width="8.6328125" style="2" customWidth="1"/>
    <col min="4" max="4" width="11.36328125" style="15" customWidth="1"/>
    <col min="5" max="5" width="16.36328125" style="2" bestFit="1" customWidth="1"/>
    <col min="6" max="6" width="16.36328125" style="2" customWidth="1"/>
    <col min="7" max="7" width="20.6328125" style="2" customWidth="1"/>
    <col min="8" max="8" width="18.36328125" style="2" customWidth="1"/>
    <col min="9" max="16384" width="11.54296875" style="2"/>
  </cols>
  <sheetData>
    <row r="1" spans="1:8" s="16" customFormat="1" ht="23">
      <c r="A1" s="119" t="s">
        <v>0</v>
      </c>
      <c r="B1" s="120"/>
      <c r="C1" s="120"/>
      <c r="D1" s="120"/>
      <c r="E1" s="120"/>
      <c r="F1" s="120"/>
      <c r="G1" s="121"/>
    </row>
    <row r="2" spans="1:8" s="16" customFormat="1" ht="14.4" customHeight="1">
      <c r="A2" s="122" t="s">
        <v>1</v>
      </c>
      <c r="B2" s="123"/>
      <c r="C2" s="123"/>
      <c r="D2" s="123"/>
      <c r="E2" s="123"/>
      <c r="F2" s="123"/>
      <c r="G2" s="124"/>
    </row>
    <row r="3" spans="1:8" s="16" customFormat="1" ht="14.4" customHeight="1">
      <c r="A3" s="122" t="s">
        <v>2</v>
      </c>
      <c r="B3" s="123"/>
      <c r="C3" s="123"/>
      <c r="D3" s="123"/>
      <c r="E3" s="123"/>
      <c r="F3" s="123"/>
      <c r="G3" s="124"/>
    </row>
    <row r="4" spans="1:8" s="16" customFormat="1" ht="14.4" customHeight="1">
      <c r="A4" s="125" t="s">
        <v>3</v>
      </c>
      <c r="B4" s="126"/>
      <c r="C4" s="126"/>
      <c r="D4" s="126"/>
      <c r="E4" s="126"/>
      <c r="F4" s="126"/>
      <c r="G4" s="127"/>
    </row>
    <row r="5" spans="1:8" ht="26">
      <c r="A5" s="78" t="s">
        <v>4</v>
      </c>
      <c r="B5" s="78" t="s">
        <v>5</v>
      </c>
      <c r="C5" s="78" t="s">
        <v>6</v>
      </c>
      <c r="D5" s="79" t="s">
        <v>7</v>
      </c>
      <c r="E5" s="78" t="s">
        <v>8</v>
      </c>
      <c r="F5" s="78" t="s">
        <v>9</v>
      </c>
      <c r="G5" s="78" t="s">
        <v>10</v>
      </c>
    </row>
    <row r="6" spans="1:8" s="16" customFormat="1" ht="14">
      <c r="A6" s="80">
        <v>1</v>
      </c>
      <c r="B6" s="128" t="s">
        <v>11</v>
      </c>
      <c r="C6" s="128"/>
      <c r="D6" s="128"/>
      <c r="E6" s="128"/>
      <c r="F6" s="128"/>
      <c r="G6" s="81"/>
      <c r="H6" s="71"/>
    </row>
    <row r="7" spans="1:8" s="16" customFormat="1" ht="14">
      <c r="A7" s="82">
        <v>1.1000000000000001</v>
      </c>
      <c r="B7" s="132" t="s">
        <v>12</v>
      </c>
      <c r="C7" s="132"/>
      <c r="D7" s="132"/>
      <c r="E7" s="132"/>
      <c r="F7" s="132"/>
      <c r="G7" s="117"/>
      <c r="H7" s="71"/>
    </row>
    <row r="8" spans="1:8" ht="27" customHeight="1">
      <c r="A8" s="72" t="s">
        <v>13</v>
      </c>
      <c r="B8" s="74" t="s">
        <v>14</v>
      </c>
      <c r="C8" s="72" t="s">
        <v>15</v>
      </c>
      <c r="D8" s="73">
        <f>ROUND(525.25-15,0)</f>
        <v>510</v>
      </c>
      <c r="E8" s="102"/>
      <c r="F8" s="102"/>
      <c r="G8" s="117"/>
      <c r="H8" s="29"/>
    </row>
    <row r="9" spans="1:8" ht="27" customHeight="1">
      <c r="A9" s="72" t="s">
        <v>16</v>
      </c>
      <c r="B9" s="74" t="s">
        <v>17</v>
      </c>
      <c r="C9" s="72" t="s">
        <v>15</v>
      </c>
      <c r="D9" s="73">
        <v>16</v>
      </c>
      <c r="E9" s="102"/>
      <c r="F9" s="102"/>
      <c r="G9" s="117"/>
      <c r="H9" s="29"/>
    </row>
    <row r="10" spans="1:8" ht="25">
      <c r="A10" s="72" t="s">
        <v>18</v>
      </c>
      <c r="B10" s="74" t="s">
        <v>19</v>
      </c>
      <c r="C10" s="72" t="s">
        <v>15</v>
      </c>
      <c r="D10" s="73">
        <f>ROUND((4.8*0.6)+(40*0.3),0)</f>
        <v>15</v>
      </c>
      <c r="E10" s="102"/>
      <c r="F10" s="102"/>
      <c r="G10" s="117"/>
      <c r="H10" s="29"/>
    </row>
    <row r="11" spans="1:8" ht="25.5" customHeight="1">
      <c r="A11" s="72" t="s">
        <v>20</v>
      </c>
      <c r="B11" s="74" t="s">
        <v>21</v>
      </c>
      <c r="C11" s="72" t="s">
        <v>22</v>
      </c>
      <c r="D11" s="73">
        <f>ROUND(40.75+35.75+20.43+14.3+55.6+28.55,0)</f>
        <v>195</v>
      </c>
      <c r="E11" s="102"/>
      <c r="F11" s="102"/>
      <c r="G11" s="117"/>
    </row>
    <row r="12" spans="1:8" ht="28.5" customHeight="1">
      <c r="A12" s="72" t="s">
        <v>23</v>
      </c>
      <c r="B12" s="74" t="s">
        <v>24</v>
      </c>
      <c r="C12" s="72" t="s">
        <v>25</v>
      </c>
      <c r="D12" s="73">
        <v>1</v>
      </c>
      <c r="E12" s="102"/>
      <c r="F12" s="102"/>
      <c r="G12" s="117"/>
    </row>
    <row r="13" spans="1:8" ht="25">
      <c r="A13" s="72" t="s">
        <v>26</v>
      </c>
      <c r="B13" s="74" t="s">
        <v>27</v>
      </c>
      <c r="C13" s="72" t="s">
        <v>22</v>
      </c>
      <c r="D13" s="73">
        <f>6+14+40+10+25+10</f>
        <v>105</v>
      </c>
      <c r="E13" s="102"/>
      <c r="F13" s="102"/>
      <c r="G13" s="117"/>
    </row>
    <row r="14" spans="1:8" ht="14">
      <c r="A14" s="82">
        <v>1.2</v>
      </c>
      <c r="B14" s="118" t="s">
        <v>28</v>
      </c>
      <c r="C14" s="118"/>
      <c r="D14" s="118"/>
      <c r="E14" s="118"/>
      <c r="F14" s="118"/>
      <c r="G14" s="117"/>
    </row>
    <row r="15" spans="1:8" ht="37.5">
      <c r="A15" s="72" t="s">
        <v>29</v>
      </c>
      <c r="B15" s="74" t="s">
        <v>30</v>
      </c>
      <c r="C15" s="72" t="s">
        <v>15</v>
      </c>
      <c r="D15" s="73">
        <f>25+40</f>
        <v>65</v>
      </c>
      <c r="E15" s="102"/>
      <c r="F15" s="102"/>
      <c r="G15" s="117"/>
    </row>
    <row r="16" spans="1:8" ht="25">
      <c r="A16" s="72" t="s">
        <v>31</v>
      </c>
      <c r="B16" s="74" t="s">
        <v>32</v>
      </c>
      <c r="C16" s="72" t="s">
        <v>15</v>
      </c>
      <c r="D16" s="73">
        <f>ROUND((7*2.6)+(2.6*2.6)+(15.7*2.6)+(5*2.6)+(14*2.6)+(5*2.8)+(16*2.8),0)</f>
        <v>174</v>
      </c>
      <c r="E16" s="102"/>
      <c r="F16" s="102"/>
      <c r="G16" s="117"/>
    </row>
    <row r="17" spans="1:8" ht="25">
      <c r="A17" s="72" t="s">
        <v>33</v>
      </c>
      <c r="B17" s="74" t="s">
        <v>34</v>
      </c>
      <c r="C17" s="72" t="s">
        <v>15</v>
      </c>
      <c r="D17" s="73">
        <f>ROUND(59.56+15.65+6.2+23.68+1.96,0)</f>
        <v>107</v>
      </c>
      <c r="E17" s="102"/>
      <c r="F17" s="102"/>
      <c r="G17" s="117"/>
    </row>
    <row r="18" spans="1:8" ht="25">
      <c r="A18" s="72" t="s">
        <v>35</v>
      </c>
      <c r="B18" s="74" t="s">
        <v>36</v>
      </c>
      <c r="C18" s="72" t="s">
        <v>15</v>
      </c>
      <c r="D18" s="73">
        <v>5</v>
      </c>
      <c r="E18" s="102"/>
      <c r="F18" s="102"/>
      <c r="G18" s="117"/>
    </row>
    <row r="19" spans="1:8" ht="25">
      <c r="A19" s="72" t="s">
        <v>37</v>
      </c>
      <c r="B19" s="74" t="s">
        <v>38</v>
      </c>
      <c r="C19" s="72" t="s">
        <v>39</v>
      </c>
      <c r="D19" s="73">
        <v>9</v>
      </c>
      <c r="E19" s="102"/>
      <c r="F19" s="102"/>
      <c r="G19" s="117"/>
    </row>
    <row r="20" spans="1:8" ht="30" customHeight="1">
      <c r="A20" s="72" t="s">
        <v>40</v>
      </c>
      <c r="B20" s="74" t="s">
        <v>41</v>
      </c>
      <c r="C20" s="72" t="s">
        <v>39</v>
      </c>
      <c r="D20" s="73">
        <v>6</v>
      </c>
      <c r="E20" s="102"/>
      <c r="F20" s="102"/>
      <c r="G20" s="117"/>
    </row>
    <row r="21" spans="1:8" ht="27" customHeight="1">
      <c r="A21" s="129" t="s">
        <v>42</v>
      </c>
      <c r="B21" s="129"/>
      <c r="C21" s="129"/>
      <c r="D21" s="129"/>
      <c r="E21" s="129"/>
      <c r="F21" s="129"/>
      <c r="G21" s="117"/>
    </row>
    <row r="22" spans="1:8" ht="14">
      <c r="A22" s="82">
        <v>1.3</v>
      </c>
      <c r="B22" s="118" t="s">
        <v>43</v>
      </c>
      <c r="C22" s="118"/>
      <c r="D22" s="118"/>
      <c r="E22" s="118"/>
      <c r="F22" s="118"/>
      <c r="G22" s="117"/>
    </row>
    <row r="23" spans="1:8" ht="25">
      <c r="A23" s="72" t="s">
        <v>44</v>
      </c>
      <c r="B23" s="74" t="s">
        <v>45</v>
      </c>
      <c r="C23" s="72" t="s">
        <v>39</v>
      </c>
      <c r="D23" s="73">
        <v>5</v>
      </c>
      <c r="E23" s="102"/>
      <c r="F23" s="102"/>
      <c r="G23" s="117"/>
    </row>
    <row r="24" spans="1:8" s="16" customFormat="1" ht="14">
      <c r="A24" s="80">
        <v>2</v>
      </c>
      <c r="B24" s="128" t="s">
        <v>46</v>
      </c>
      <c r="C24" s="128"/>
      <c r="D24" s="128"/>
      <c r="E24" s="128"/>
      <c r="F24" s="128"/>
      <c r="G24" s="81"/>
      <c r="H24" s="71"/>
    </row>
    <row r="25" spans="1:8" s="16" customFormat="1" ht="14.25" customHeight="1">
      <c r="A25" s="82">
        <v>2.1</v>
      </c>
      <c r="B25" s="118" t="s">
        <v>47</v>
      </c>
      <c r="C25" s="118"/>
      <c r="D25" s="118"/>
      <c r="E25" s="118"/>
      <c r="F25" s="118"/>
      <c r="G25" s="116"/>
      <c r="H25" s="71"/>
    </row>
    <row r="26" spans="1:8" ht="220.25" customHeight="1">
      <c r="A26" s="72" t="s">
        <v>48</v>
      </c>
      <c r="B26" s="76" t="s">
        <v>49</v>
      </c>
      <c r="C26" s="72" t="s">
        <v>15</v>
      </c>
      <c r="D26" s="73">
        <v>92</v>
      </c>
      <c r="E26" s="102"/>
      <c r="F26" s="102"/>
      <c r="G26" s="116"/>
      <c r="H26" s="71"/>
    </row>
    <row r="27" spans="1:8" ht="47" customHeight="1">
      <c r="A27" s="72" t="s">
        <v>50</v>
      </c>
      <c r="B27" s="74" t="s">
        <v>51</v>
      </c>
      <c r="C27" s="72" t="s">
        <v>52</v>
      </c>
      <c r="D27" s="73">
        <f>ROUND((7+4.55+5.4+4.25+1.9)*2.6,0)</f>
        <v>60</v>
      </c>
      <c r="E27" s="102"/>
      <c r="F27" s="102"/>
      <c r="G27" s="116"/>
      <c r="H27" s="71"/>
    </row>
    <row r="28" spans="1:8" ht="14.25" customHeight="1">
      <c r="A28" s="82">
        <v>2.2000000000000002</v>
      </c>
      <c r="B28" s="118" t="s">
        <v>53</v>
      </c>
      <c r="C28" s="118"/>
      <c r="D28" s="118"/>
      <c r="E28" s="118"/>
      <c r="F28" s="118"/>
      <c r="G28" s="116"/>
      <c r="H28" s="71"/>
    </row>
    <row r="29" spans="1:8" ht="14">
      <c r="A29" s="77" t="s">
        <v>54</v>
      </c>
      <c r="B29" s="130" t="s">
        <v>55</v>
      </c>
      <c r="C29" s="130"/>
      <c r="D29" s="130"/>
      <c r="E29" s="130"/>
      <c r="F29" s="130"/>
      <c r="G29" s="116"/>
      <c r="H29" s="71"/>
    </row>
    <row r="30" spans="1:8" ht="212.5">
      <c r="A30" s="72" t="s">
        <v>56</v>
      </c>
      <c r="B30" s="76" t="s">
        <v>57</v>
      </c>
      <c r="C30" s="72" t="s">
        <v>15</v>
      </c>
      <c r="D30" s="73">
        <v>225</v>
      </c>
      <c r="E30" s="102"/>
      <c r="F30" s="102"/>
      <c r="G30" s="116"/>
      <c r="H30" s="29"/>
    </row>
    <row r="31" spans="1:8" ht="14">
      <c r="A31" s="82" t="s">
        <v>58</v>
      </c>
      <c r="B31" s="118" t="s">
        <v>59</v>
      </c>
      <c r="C31" s="118"/>
      <c r="D31" s="118"/>
      <c r="E31" s="118"/>
      <c r="F31" s="118"/>
      <c r="G31" s="116"/>
      <c r="H31" s="29"/>
    </row>
    <row r="32" spans="1:8" ht="217.25" customHeight="1">
      <c r="A32" s="77" t="s">
        <v>60</v>
      </c>
      <c r="B32" s="76" t="s">
        <v>61</v>
      </c>
      <c r="C32" s="72" t="s">
        <v>15</v>
      </c>
      <c r="D32" s="73">
        <v>16</v>
      </c>
      <c r="E32" s="102"/>
      <c r="F32" s="103"/>
      <c r="G32" s="116"/>
      <c r="H32" s="29"/>
    </row>
    <row r="33" spans="1:8" ht="14">
      <c r="A33" s="82">
        <v>2.2999999999999998</v>
      </c>
      <c r="B33" s="118" t="s">
        <v>62</v>
      </c>
      <c r="C33" s="118"/>
      <c r="D33" s="118"/>
      <c r="E33" s="118"/>
      <c r="F33" s="118"/>
      <c r="G33" s="116"/>
      <c r="H33" s="29"/>
    </row>
    <row r="34" spans="1:8" ht="14">
      <c r="A34" s="77" t="s">
        <v>63</v>
      </c>
      <c r="B34" s="130" t="s">
        <v>64</v>
      </c>
      <c r="C34" s="130"/>
      <c r="D34" s="130"/>
      <c r="E34" s="130"/>
      <c r="F34" s="130"/>
      <c r="G34" s="116"/>
      <c r="H34" s="29"/>
    </row>
    <row r="35" spans="1:8" ht="262.5">
      <c r="A35" s="77" t="s">
        <v>65</v>
      </c>
      <c r="B35" s="76" t="s">
        <v>66</v>
      </c>
      <c r="C35" s="72" t="s">
        <v>15</v>
      </c>
      <c r="D35" s="73">
        <v>30</v>
      </c>
      <c r="E35" s="102"/>
      <c r="F35" s="103"/>
      <c r="G35" s="116"/>
      <c r="H35" s="29"/>
    </row>
    <row r="36" spans="1:8" ht="14.25" customHeight="1">
      <c r="A36" s="82">
        <v>2.4</v>
      </c>
      <c r="B36" s="118" t="s">
        <v>67</v>
      </c>
      <c r="C36" s="118"/>
      <c r="D36" s="118"/>
      <c r="E36" s="118"/>
      <c r="F36" s="118"/>
      <c r="G36" s="116"/>
      <c r="H36" s="29"/>
    </row>
    <row r="37" spans="1:8" ht="14">
      <c r="A37" s="77" t="s">
        <v>68</v>
      </c>
      <c r="B37" s="130" t="s">
        <v>69</v>
      </c>
      <c r="C37" s="130"/>
      <c r="D37" s="130"/>
      <c r="E37" s="130"/>
      <c r="F37" s="130"/>
      <c r="G37" s="116"/>
      <c r="H37" s="29"/>
    </row>
    <row r="38" spans="1:8" ht="212.5">
      <c r="A38" s="72" t="s">
        <v>70</v>
      </c>
      <c r="B38" s="76" t="s">
        <v>71</v>
      </c>
      <c r="C38" s="72" t="s">
        <v>15</v>
      </c>
      <c r="D38" s="73">
        <v>265</v>
      </c>
      <c r="E38" s="102"/>
      <c r="F38" s="102"/>
      <c r="G38" s="116"/>
      <c r="H38" s="29"/>
    </row>
    <row r="39" spans="1:8" ht="14">
      <c r="A39" s="82" t="s">
        <v>72</v>
      </c>
      <c r="B39" s="118" t="s">
        <v>73</v>
      </c>
      <c r="C39" s="118"/>
      <c r="D39" s="118"/>
      <c r="E39" s="118"/>
      <c r="F39" s="118"/>
      <c r="G39" s="116"/>
      <c r="H39" s="29"/>
    </row>
    <row r="40" spans="1:8" ht="219" customHeight="1">
      <c r="A40" s="77" t="s">
        <v>74</v>
      </c>
      <c r="B40" s="76" t="s">
        <v>61</v>
      </c>
      <c r="C40" s="72" t="s">
        <v>15</v>
      </c>
      <c r="D40" s="73">
        <v>16</v>
      </c>
      <c r="E40" s="102"/>
      <c r="F40" s="103"/>
      <c r="G40" s="116"/>
      <c r="H40" s="29"/>
    </row>
    <row r="41" spans="1:8" ht="14.25" customHeight="1">
      <c r="A41" s="82">
        <v>2.5</v>
      </c>
      <c r="B41" s="118" t="s">
        <v>75</v>
      </c>
      <c r="C41" s="118"/>
      <c r="D41" s="118"/>
      <c r="E41" s="118"/>
      <c r="F41" s="118"/>
      <c r="G41" s="116"/>
      <c r="H41" s="29"/>
    </row>
    <row r="42" spans="1:8" ht="14">
      <c r="A42" s="77" t="s">
        <v>76</v>
      </c>
      <c r="B42" s="130" t="s">
        <v>77</v>
      </c>
      <c r="C42" s="130"/>
      <c r="D42" s="130"/>
      <c r="E42" s="130"/>
      <c r="F42" s="130"/>
      <c r="G42" s="116"/>
      <c r="H42" s="29"/>
    </row>
    <row r="43" spans="1:8" ht="212.5">
      <c r="A43" s="77" t="s">
        <v>78</v>
      </c>
      <c r="B43" s="76" t="s">
        <v>57</v>
      </c>
      <c r="C43" s="72" t="s">
        <v>15</v>
      </c>
      <c r="D43" s="73">
        <v>161</v>
      </c>
      <c r="E43" s="102"/>
      <c r="F43" s="103"/>
      <c r="G43" s="116"/>
      <c r="H43" s="29"/>
    </row>
    <row r="44" spans="1:8" ht="14">
      <c r="A44" s="82" t="s">
        <v>79</v>
      </c>
      <c r="B44" s="118" t="s">
        <v>80</v>
      </c>
      <c r="C44" s="118"/>
      <c r="D44" s="118"/>
      <c r="E44" s="118"/>
      <c r="F44" s="118"/>
      <c r="G44" s="116"/>
      <c r="H44" s="29"/>
    </row>
    <row r="45" spans="1:8" ht="262.5">
      <c r="A45" s="77" t="s">
        <v>81</v>
      </c>
      <c r="B45" s="76" t="s">
        <v>82</v>
      </c>
      <c r="C45" s="72" t="s">
        <v>15</v>
      </c>
      <c r="D45" s="73">
        <v>12</v>
      </c>
      <c r="E45" s="104"/>
      <c r="F45" s="105"/>
      <c r="G45" s="116"/>
      <c r="H45" s="29"/>
    </row>
    <row r="46" spans="1:8" ht="14">
      <c r="A46" s="82" t="s">
        <v>83</v>
      </c>
      <c r="B46" s="118" t="s">
        <v>84</v>
      </c>
      <c r="C46" s="118"/>
      <c r="D46" s="118"/>
      <c r="E46" s="118"/>
      <c r="F46" s="118"/>
      <c r="G46" s="116"/>
      <c r="H46" s="29"/>
    </row>
    <row r="47" spans="1:8" ht="219" customHeight="1">
      <c r="A47" s="77" t="s">
        <v>85</v>
      </c>
      <c r="B47" s="76" t="s">
        <v>86</v>
      </c>
      <c r="C47" s="72" t="s">
        <v>15</v>
      </c>
      <c r="D47" s="73">
        <v>6.5</v>
      </c>
      <c r="E47" s="102"/>
      <c r="F47" s="103"/>
      <c r="G47" s="116"/>
      <c r="H47" s="29"/>
    </row>
    <row r="48" spans="1:8" ht="14.4" customHeight="1">
      <c r="A48" s="80">
        <v>3</v>
      </c>
      <c r="B48" s="128" t="s">
        <v>87</v>
      </c>
      <c r="C48" s="128"/>
      <c r="D48" s="128"/>
      <c r="E48" s="128"/>
      <c r="F48" s="128"/>
      <c r="G48" s="81"/>
      <c r="H48" s="71"/>
    </row>
    <row r="49" spans="1:8" ht="14.4" customHeight="1">
      <c r="A49" s="82">
        <v>3.1</v>
      </c>
      <c r="B49" s="118" t="s">
        <v>88</v>
      </c>
      <c r="C49" s="118"/>
      <c r="D49" s="118"/>
      <c r="E49" s="118"/>
      <c r="F49" s="118"/>
      <c r="G49" s="116"/>
      <c r="H49" s="71"/>
    </row>
    <row r="50" spans="1:8" ht="14.4" customHeight="1">
      <c r="A50" s="77" t="s">
        <v>89</v>
      </c>
      <c r="B50" s="130" t="s">
        <v>90</v>
      </c>
      <c r="C50" s="130"/>
      <c r="D50" s="130"/>
      <c r="E50" s="130"/>
      <c r="F50" s="130"/>
      <c r="G50" s="116"/>
      <c r="H50" s="71"/>
    </row>
    <row r="51" spans="1:8" ht="287.5">
      <c r="A51" s="72" t="s">
        <v>91</v>
      </c>
      <c r="B51" s="76" t="s">
        <v>92</v>
      </c>
      <c r="C51" s="72" t="s">
        <v>15</v>
      </c>
      <c r="D51" s="73">
        <v>10</v>
      </c>
      <c r="E51" s="102"/>
      <c r="F51" s="102"/>
      <c r="G51" s="116"/>
      <c r="H51" s="71"/>
    </row>
    <row r="52" spans="1:8" ht="14.4" customHeight="1">
      <c r="A52" s="82">
        <v>3.2</v>
      </c>
      <c r="B52" s="118" t="s">
        <v>93</v>
      </c>
      <c r="C52" s="118"/>
      <c r="D52" s="118"/>
      <c r="E52" s="118"/>
      <c r="F52" s="118"/>
      <c r="G52" s="116"/>
      <c r="H52" s="71"/>
    </row>
    <row r="53" spans="1:8" ht="14.4" customHeight="1">
      <c r="A53" s="77" t="s">
        <v>94</v>
      </c>
      <c r="B53" s="130" t="s">
        <v>95</v>
      </c>
      <c r="C53" s="130"/>
      <c r="D53" s="130"/>
      <c r="E53" s="130"/>
      <c r="F53" s="130"/>
      <c r="G53" s="116"/>
      <c r="H53" s="71"/>
    </row>
    <row r="54" spans="1:8" ht="287.5">
      <c r="A54" s="72" t="s">
        <v>96</v>
      </c>
      <c r="B54" s="76" t="s">
        <v>97</v>
      </c>
      <c r="C54" s="72" t="s">
        <v>15</v>
      </c>
      <c r="D54" s="73">
        <v>22</v>
      </c>
      <c r="E54" s="102"/>
      <c r="F54" s="102"/>
      <c r="G54" s="116"/>
      <c r="H54" s="71"/>
    </row>
    <row r="55" spans="1:8" ht="14.4" customHeight="1">
      <c r="A55" s="82">
        <v>3.3</v>
      </c>
      <c r="B55" s="118" t="s">
        <v>98</v>
      </c>
      <c r="C55" s="118"/>
      <c r="D55" s="118"/>
      <c r="E55" s="118"/>
      <c r="F55" s="118"/>
      <c r="G55" s="116"/>
      <c r="H55" s="71"/>
    </row>
    <row r="56" spans="1:8" ht="14.4" customHeight="1">
      <c r="A56" s="72" t="s">
        <v>99</v>
      </c>
      <c r="B56" s="139" t="s">
        <v>100</v>
      </c>
      <c r="C56" s="139"/>
      <c r="D56" s="139"/>
      <c r="E56" s="139"/>
      <c r="F56" s="139"/>
      <c r="G56" s="116"/>
      <c r="H56" s="71"/>
    </row>
    <row r="57" spans="1:8" ht="315.64999999999998" customHeight="1">
      <c r="A57" s="72" t="s">
        <v>101</v>
      </c>
      <c r="B57" s="76" t="s">
        <v>102</v>
      </c>
      <c r="C57" s="72" t="s">
        <v>15</v>
      </c>
      <c r="D57" s="73">
        <v>20</v>
      </c>
      <c r="E57" s="102"/>
      <c r="F57" s="102"/>
      <c r="G57" s="116"/>
      <c r="H57" s="71"/>
    </row>
    <row r="58" spans="1:8" ht="14.4" customHeight="1">
      <c r="A58" s="82">
        <v>3.4</v>
      </c>
      <c r="B58" s="118" t="s">
        <v>103</v>
      </c>
      <c r="C58" s="118"/>
      <c r="D58" s="118"/>
      <c r="E58" s="118"/>
      <c r="F58" s="118"/>
      <c r="G58" s="116"/>
      <c r="H58" s="71"/>
    </row>
    <row r="59" spans="1:8" ht="14.4" customHeight="1">
      <c r="A59" s="77" t="s">
        <v>104</v>
      </c>
      <c r="B59" s="130" t="s">
        <v>105</v>
      </c>
      <c r="C59" s="130"/>
      <c r="D59" s="130"/>
      <c r="E59" s="130"/>
      <c r="F59" s="130"/>
      <c r="G59" s="116"/>
      <c r="H59" s="71"/>
    </row>
    <row r="60" spans="1:8" s="52" customFormat="1" ht="187.5">
      <c r="A60" s="72" t="s">
        <v>106</v>
      </c>
      <c r="B60" s="76" t="s">
        <v>107</v>
      </c>
      <c r="C60" s="72" t="s">
        <v>15</v>
      </c>
      <c r="D60" s="75">
        <v>152</v>
      </c>
      <c r="E60" s="106"/>
      <c r="F60" s="102"/>
      <c r="G60" s="116"/>
      <c r="H60" s="29"/>
    </row>
    <row r="61" spans="1:8" s="52" customFormat="1" ht="14">
      <c r="A61" s="82" t="s">
        <v>108</v>
      </c>
      <c r="B61" s="118" t="s">
        <v>109</v>
      </c>
      <c r="C61" s="118"/>
      <c r="D61" s="118"/>
      <c r="E61" s="118"/>
      <c r="F61" s="118"/>
      <c r="G61" s="116"/>
      <c r="H61" s="29"/>
    </row>
    <row r="62" spans="1:8" s="52" customFormat="1" ht="287.5">
      <c r="A62" s="72" t="s">
        <v>110</v>
      </c>
      <c r="B62" s="76" t="s">
        <v>97</v>
      </c>
      <c r="C62" s="72" t="s">
        <v>15</v>
      </c>
      <c r="D62" s="73">
        <v>5</v>
      </c>
      <c r="E62" s="102"/>
      <c r="F62" s="102"/>
      <c r="G62" s="116"/>
      <c r="H62" s="29"/>
    </row>
    <row r="63" spans="1:8" s="52" customFormat="1" ht="14">
      <c r="A63" s="82">
        <v>3.5</v>
      </c>
      <c r="B63" s="132" t="s">
        <v>111</v>
      </c>
      <c r="C63" s="132"/>
      <c r="D63" s="132"/>
      <c r="E63" s="132"/>
      <c r="F63" s="132"/>
      <c r="G63" s="116"/>
      <c r="H63" s="51"/>
    </row>
    <row r="64" spans="1:8" s="52" customFormat="1" ht="81" customHeight="1">
      <c r="A64" s="72" t="s">
        <v>112</v>
      </c>
      <c r="B64" s="74" t="s">
        <v>113</v>
      </c>
      <c r="C64" s="72" t="s">
        <v>15</v>
      </c>
      <c r="D64" s="73">
        <v>110</v>
      </c>
      <c r="E64" s="102"/>
      <c r="F64" s="102"/>
      <c r="G64" s="116"/>
      <c r="H64" s="51"/>
    </row>
    <row r="65" spans="1:8" s="16" customFormat="1" ht="14">
      <c r="A65" s="80">
        <v>4</v>
      </c>
      <c r="B65" s="128" t="s">
        <v>114</v>
      </c>
      <c r="C65" s="128"/>
      <c r="D65" s="128"/>
      <c r="E65" s="128"/>
      <c r="F65" s="128"/>
      <c r="G65" s="81"/>
      <c r="H65" s="71"/>
    </row>
    <row r="66" spans="1:8" s="16" customFormat="1" ht="14">
      <c r="A66" s="83">
        <v>4.0999999999999996</v>
      </c>
      <c r="B66" s="133" t="s">
        <v>115</v>
      </c>
      <c r="C66" s="133"/>
      <c r="D66" s="133"/>
      <c r="E66" s="133"/>
      <c r="F66" s="133"/>
      <c r="G66" s="141"/>
      <c r="H66" s="71"/>
    </row>
    <row r="67" spans="1:8" s="16" customFormat="1" ht="75">
      <c r="A67" s="84" t="s">
        <v>116</v>
      </c>
      <c r="B67" s="85" t="s">
        <v>117</v>
      </c>
      <c r="C67" s="86" t="s">
        <v>15</v>
      </c>
      <c r="D67" s="87">
        <v>175</v>
      </c>
      <c r="E67" s="107"/>
      <c r="F67" s="107"/>
      <c r="G67" s="142"/>
      <c r="H67" s="71"/>
    </row>
    <row r="68" spans="1:8" s="16" customFormat="1" ht="14">
      <c r="A68" s="83">
        <v>4.2</v>
      </c>
      <c r="B68" s="133" t="s">
        <v>118</v>
      </c>
      <c r="C68" s="133"/>
      <c r="D68" s="133"/>
      <c r="E68" s="133"/>
      <c r="F68" s="133"/>
      <c r="G68" s="142"/>
      <c r="H68" s="71"/>
    </row>
    <row r="69" spans="1:8" s="16" customFormat="1" ht="14">
      <c r="A69" s="88" t="s">
        <v>119</v>
      </c>
      <c r="B69" s="89" t="s">
        <v>120</v>
      </c>
      <c r="C69" s="88" t="s">
        <v>15</v>
      </c>
      <c r="D69" s="90">
        <v>25</v>
      </c>
      <c r="E69" s="108"/>
      <c r="F69" s="108"/>
      <c r="G69" s="142"/>
      <c r="H69" s="71"/>
    </row>
    <row r="70" spans="1:8" s="16" customFormat="1" ht="25">
      <c r="A70" s="88" t="s">
        <v>121</v>
      </c>
      <c r="B70" s="89" t="s">
        <v>122</v>
      </c>
      <c r="C70" s="88" t="s">
        <v>15</v>
      </c>
      <c r="D70" s="90">
        <v>25</v>
      </c>
      <c r="E70" s="108"/>
      <c r="F70" s="108"/>
      <c r="G70" s="142"/>
      <c r="H70" s="71"/>
    </row>
    <row r="71" spans="1:8" s="16" customFormat="1" ht="26.25" customHeight="1">
      <c r="A71" s="88" t="s">
        <v>123</v>
      </c>
      <c r="B71" s="89" t="s">
        <v>124</v>
      </c>
      <c r="C71" s="88" t="s">
        <v>15</v>
      </c>
      <c r="D71" s="90">
        <v>2</v>
      </c>
      <c r="E71" s="108"/>
      <c r="F71" s="108"/>
      <c r="G71" s="142"/>
      <c r="H71" s="71"/>
    </row>
    <row r="72" spans="1:8" s="16" customFormat="1" ht="25">
      <c r="A72" s="88" t="s">
        <v>125</v>
      </c>
      <c r="B72" s="89" t="s">
        <v>126</v>
      </c>
      <c r="C72" s="88" t="s">
        <v>15</v>
      </c>
      <c r="D72" s="90">
        <f>((70+20)*0.8)+3</f>
        <v>75</v>
      </c>
      <c r="E72" s="108"/>
      <c r="F72" s="108"/>
      <c r="G72" s="142"/>
      <c r="H72" s="71"/>
    </row>
    <row r="73" spans="1:8" s="16" customFormat="1" ht="25">
      <c r="A73" s="88" t="s">
        <v>127</v>
      </c>
      <c r="B73" s="91" t="s">
        <v>128</v>
      </c>
      <c r="C73" s="92" t="s">
        <v>15</v>
      </c>
      <c r="D73" s="90">
        <v>35</v>
      </c>
      <c r="E73" s="108"/>
      <c r="F73" s="108"/>
      <c r="G73" s="142"/>
      <c r="H73" s="71"/>
    </row>
    <row r="74" spans="1:8" s="16" customFormat="1" ht="37.5">
      <c r="A74" s="88" t="s">
        <v>129</v>
      </c>
      <c r="B74" s="89" t="s">
        <v>130</v>
      </c>
      <c r="C74" s="88" t="s">
        <v>15</v>
      </c>
      <c r="D74" s="90">
        <f>((70+20)*0.8)+3</f>
        <v>75</v>
      </c>
      <c r="E74" s="109"/>
      <c r="F74" s="108"/>
      <c r="G74" s="142"/>
      <c r="H74" s="71"/>
    </row>
    <row r="75" spans="1:8" s="16" customFormat="1" ht="25">
      <c r="A75" s="88" t="s">
        <v>131</v>
      </c>
      <c r="B75" s="89" t="s">
        <v>132</v>
      </c>
      <c r="C75" s="88" t="s">
        <v>22</v>
      </c>
      <c r="D75" s="93">
        <f>25+20+10</f>
        <v>55</v>
      </c>
      <c r="E75" s="108"/>
      <c r="F75" s="108"/>
      <c r="G75" s="142"/>
      <c r="H75" s="71"/>
    </row>
    <row r="76" spans="1:8" s="16" customFormat="1" ht="14">
      <c r="A76" s="83">
        <v>4.3</v>
      </c>
      <c r="B76" s="133" t="s">
        <v>133</v>
      </c>
      <c r="C76" s="133"/>
      <c r="D76" s="133"/>
      <c r="E76" s="133"/>
      <c r="F76" s="133"/>
      <c r="G76" s="142"/>
      <c r="H76" s="71"/>
    </row>
    <row r="77" spans="1:8" s="16" customFormat="1" ht="25">
      <c r="A77" s="88" t="s">
        <v>134</v>
      </c>
      <c r="B77" s="89" t="s">
        <v>135</v>
      </c>
      <c r="C77" s="88" t="s">
        <v>15</v>
      </c>
      <c r="D77" s="90">
        <v>180</v>
      </c>
      <c r="E77" s="109"/>
      <c r="F77" s="108"/>
      <c r="G77" s="142"/>
      <c r="H77" s="71"/>
    </row>
    <row r="78" spans="1:8" s="16" customFormat="1" ht="14">
      <c r="A78" s="83">
        <v>4.4000000000000004</v>
      </c>
      <c r="B78" s="133" t="s">
        <v>136</v>
      </c>
      <c r="C78" s="133"/>
      <c r="D78" s="133"/>
      <c r="E78" s="133"/>
      <c r="F78" s="133"/>
      <c r="G78" s="142"/>
      <c r="H78" s="71"/>
    </row>
    <row r="79" spans="1:8" s="16" customFormat="1" ht="231" customHeight="1">
      <c r="A79" s="88" t="s">
        <v>137</v>
      </c>
      <c r="B79" s="91" t="s">
        <v>138</v>
      </c>
      <c r="C79" s="88" t="s">
        <v>15</v>
      </c>
      <c r="D79" s="90">
        <v>17</v>
      </c>
      <c r="E79" s="108"/>
      <c r="F79" s="108"/>
      <c r="G79" s="142"/>
      <c r="H79" s="71"/>
    </row>
    <row r="80" spans="1:8" s="16" customFormat="1" ht="25">
      <c r="A80" s="88" t="s">
        <v>139</v>
      </c>
      <c r="B80" s="89" t="s">
        <v>140</v>
      </c>
      <c r="C80" s="88" t="s">
        <v>39</v>
      </c>
      <c r="D80" s="90">
        <v>1</v>
      </c>
      <c r="E80" s="108"/>
      <c r="F80" s="108"/>
      <c r="G80" s="142"/>
      <c r="H80" s="71"/>
    </row>
    <row r="81" spans="1:8" s="16" customFormat="1" ht="25">
      <c r="A81" s="88" t="s">
        <v>141</v>
      </c>
      <c r="B81" s="89" t="s">
        <v>142</v>
      </c>
      <c r="C81" s="88" t="s">
        <v>39</v>
      </c>
      <c r="D81" s="90">
        <v>1</v>
      </c>
      <c r="E81" s="108"/>
      <c r="F81" s="108"/>
      <c r="G81" s="142"/>
      <c r="H81" s="71"/>
    </row>
    <row r="82" spans="1:8" s="16" customFormat="1" ht="14">
      <c r="A82" s="83">
        <v>4.5</v>
      </c>
      <c r="B82" s="133" t="s">
        <v>143</v>
      </c>
      <c r="C82" s="133"/>
      <c r="D82" s="133"/>
      <c r="E82" s="133"/>
      <c r="F82" s="133"/>
      <c r="G82" s="142"/>
      <c r="H82" s="71"/>
    </row>
    <row r="83" spans="1:8" s="16" customFormat="1" ht="25">
      <c r="A83" s="88" t="s">
        <v>144</v>
      </c>
      <c r="B83" s="94" t="s">
        <v>145</v>
      </c>
      <c r="C83" s="88" t="s">
        <v>22</v>
      </c>
      <c r="D83" s="90">
        <v>250</v>
      </c>
      <c r="E83" s="108"/>
      <c r="F83" s="108"/>
      <c r="G83" s="142"/>
      <c r="H83" s="71"/>
    </row>
    <row r="84" spans="1:8" s="16" customFormat="1" ht="75">
      <c r="A84" s="88" t="s">
        <v>146</v>
      </c>
      <c r="B84" s="89" t="s">
        <v>147</v>
      </c>
      <c r="C84" s="88" t="s">
        <v>25</v>
      </c>
      <c r="D84" s="90">
        <v>8</v>
      </c>
      <c r="E84" s="108"/>
      <c r="F84" s="108"/>
      <c r="G84" s="142"/>
      <c r="H84" s="71"/>
    </row>
    <row r="85" spans="1:8" s="16" customFormat="1" ht="14.25" customHeight="1">
      <c r="A85" s="88"/>
      <c r="B85" s="138" t="s">
        <v>148</v>
      </c>
      <c r="C85" s="138"/>
      <c r="D85" s="138"/>
      <c r="E85" s="138"/>
      <c r="F85" s="138"/>
      <c r="G85" s="142"/>
      <c r="H85" s="71"/>
    </row>
    <row r="86" spans="1:8" s="16" customFormat="1" ht="14">
      <c r="A86" s="83">
        <v>4.5999999999999996</v>
      </c>
      <c r="B86" s="133" t="s">
        <v>149</v>
      </c>
      <c r="C86" s="133"/>
      <c r="D86" s="133"/>
      <c r="E86" s="133"/>
      <c r="F86" s="133"/>
      <c r="G86" s="142"/>
      <c r="H86" s="71"/>
    </row>
    <row r="87" spans="1:8" s="16" customFormat="1" ht="219.65" customHeight="1">
      <c r="A87" s="95" t="s">
        <v>150</v>
      </c>
      <c r="B87" s="91" t="s">
        <v>151</v>
      </c>
      <c r="C87" s="88" t="s">
        <v>152</v>
      </c>
      <c r="D87" s="93">
        <v>1</v>
      </c>
      <c r="E87" s="108"/>
      <c r="F87" s="108"/>
      <c r="G87" s="142"/>
      <c r="H87" s="71"/>
    </row>
    <row r="88" spans="1:8" s="16" customFormat="1" ht="14">
      <c r="A88" s="83">
        <v>4.7</v>
      </c>
      <c r="B88" s="133" t="s">
        <v>153</v>
      </c>
      <c r="C88" s="133"/>
      <c r="D88" s="133"/>
      <c r="E88" s="133"/>
      <c r="F88" s="133"/>
      <c r="G88" s="142"/>
      <c r="H88" s="71"/>
    </row>
    <row r="89" spans="1:8" s="16" customFormat="1" ht="25">
      <c r="A89" s="88" t="s">
        <v>154</v>
      </c>
      <c r="B89" s="89" t="s">
        <v>155</v>
      </c>
      <c r="C89" s="88" t="s">
        <v>15</v>
      </c>
      <c r="D89" s="93">
        <v>50</v>
      </c>
      <c r="E89" s="108"/>
      <c r="F89" s="108"/>
      <c r="G89" s="142"/>
      <c r="H89" s="71"/>
    </row>
    <row r="90" spans="1:8" s="16" customFormat="1" ht="25">
      <c r="A90" s="88" t="s">
        <v>156</v>
      </c>
      <c r="B90" s="89" t="s">
        <v>157</v>
      </c>
      <c r="C90" s="88" t="s">
        <v>25</v>
      </c>
      <c r="D90" s="93">
        <v>2</v>
      </c>
      <c r="E90" s="108"/>
      <c r="F90" s="108"/>
      <c r="G90" s="142"/>
      <c r="H90" s="71"/>
    </row>
    <row r="91" spans="1:8" s="16" customFormat="1" ht="25">
      <c r="A91" s="88" t="s">
        <v>158</v>
      </c>
      <c r="B91" s="89" t="s">
        <v>159</v>
      </c>
      <c r="C91" s="88" t="s">
        <v>39</v>
      </c>
      <c r="D91" s="90">
        <v>1</v>
      </c>
      <c r="E91" s="108"/>
      <c r="F91" s="108"/>
      <c r="G91" s="142"/>
      <c r="H91" s="71"/>
    </row>
    <row r="92" spans="1:8" s="16" customFormat="1" ht="14">
      <c r="A92" s="83">
        <v>4.8</v>
      </c>
      <c r="B92" s="133" t="s">
        <v>160</v>
      </c>
      <c r="C92" s="133"/>
      <c r="D92" s="133"/>
      <c r="E92" s="133"/>
      <c r="F92" s="133"/>
      <c r="G92" s="142"/>
      <c r="H92" s="71"/>
    </row>
    <row r="93" spans="1:8" s="16" customFormat="1" ht="22.5" customHeight="1">
      <c r="A93" s="88" t="s">
        <v>161</v>
      </c>
      <c r="B93" s="89" t="s">
        <v>162</v>
      </c>
      <c r="C93" s="88" t="s">
        <v>15</v>
      </c>
      <c r="D93" s="93">
        <f>ROUND(1053.14+137.53+67+37.2+21+85+41+8,0)</f>
        <v>1450</v>
      </c>
      <c r="E93" s="108"/>
      <c r="F93" s="108"/>
      <c r="G93" s="142"/>
      <c r="H93" s="71"/>
    </row>
    <row r="94" spans="1:8" s="16" customFormat="1" ht="23.25" customHeight="1">
      <c r="A94" s="88" t="s">
        <v>163</v>
      </c>
      <c r="B94" s="89" t="s">
        <v>164</v>
      </c>
      <c r="C94" s="88" t="s">
        <v>25</v>
      </c>
      <c r="D94" s="90">
        <v>75</v>
      </c>
      <c r="E94" s="108"/>
      <c r="F94" s="108"/>
      <c r="G94" s="142"/>
      <c r="H94" s="71"/>
    </row>
    <row r="95" spans="1:8" s="16" customFormat="1" ht="21" customHeight="1">
      <c r="A95" s="88" t="s">
        <v>165</v>
      </c>
      <c r="B95" s="89" t="s">
        <v>166</v>
      </c>
      <c r="C95" s="88" t="s">
        <v>25</v>
      </c>
      <c r="D95" s="90">
        <v>8</v>
      </c>
      <c r="E95" s="108"/>
      <c r="F95" s="108"/>
      <c r="G95" s="142"/>
      <c r="H95" s="71"/>
    </row>
    <row r="96" spans="1:8" s="16" customFormat="1" ht="25">
      <c r="A96" s="88" t="s">
        <v>167</v>
      </c>
      <c r="B96" s="89" t="s">
        <v>142</v>
      </c>
      <c r="C96" s="88" t="s">
        <v>39</v>
      </c>
      <c r="D96" s="90">
        <v>4</v>
      </c>
      <c r="E96" s="108"/>
      <c r="F96" s="108"/>
      <c r="G96" s="142"/>
      <c r="H96" s="71"/>
    </row>
    <row r="97" spans="1:8" s="16" customFormat="1" ht="86" customHeight="1">
      <c r="A97" s="88" t="s">
        <v>168</v>
      </c>
      <c r="B97" s="96" t="s">
        <v>169</v>
      </c>
      <c r="C97" s="97" t="s">
        <v>25</v>
      </c>
      <c r="D97" s="98">
        <v>1</v>
      </c>
      <c r="E97" s="109"/>
      <c r="F97" s="108"/>
      <c r="G97" s="142"/>
      <c r="H97" s="71"/>
    </row>
    <row r="98" spans="1:8" s="16" customFormat="1" ht="14">
      <c r="A98" s="83">
        <v>4.9000000000000004</v>
      </c>
      <c r="B98" s="133" t="s">
        <v>170</v>
      </c>
      <c r="C98" s="133"/>
      <c r="D98" s="133"/>
      <c r="E98" s="133"/>
      <c r="F98" s="133"/>
      <c r="G98" s="142"/>
      <c r="H98" s="71"/>
    </row>
    <row r="99" spans="1:8" s="16" customFormat="1" ht="14">
      <c r="A99" s="88" t="s">
        <v>171</v>
      </c>
      <c r="B99" s="137" t="s">
        <v>172</v>
      </c>
      <c r="C99" s="137"/>
      <c r="D99" s="137"/>
      <c r="E99" s="137"/>
      <c r="F99" s="137"/>
      <c r="G99" s="142"/>
      <c r="H99" s="71"/>
    </row>
    <row r="100" spans="1:8" s="16" customFormat="1" ht="71.400000000000006" customHeight="1">
      <c r="A100" s="88" t="s">
        <v>173</v>
      </c>
      <c r="B100" s="91" t="s">
        <v>174</v>
      </c>
      <c r="C100" s="88" t="s">
        <v>22</v>
      </c>
      <c r="D100" s="90">
        <v>41.6</v>
      </c>
      <c r="E100" s="108"/>
      <c r="F100" s="108"/>
      <c r="G100" s="142"/>
      <c r="H100" s="71"/>
    </row>
    <row r="101" spans="1:8" s="16" customFormat="1" ht="145.25" customHeight="1">
      <c r="A101" s="60" t="s">
        <v>175</v>
      </c>
      <c r="B101" s="89" t="s">
        <v>176</v>
      </c>
      <c r="C101" s="88" t="s">
        <v>52</v>
      </c>
      <c r="D101" s="90">
        <v>25</v>
      </c>
      <c r="E101" s="108"/>
      <c r="F101" s="108"/>
      <c r="G101" s="142"/>
      <c r="H101" s="71"/>
    </row>
    <row r="102" spans="1:8" s="16" customFormat="1" ht="14">
      <c r="A102" s="112">
        <v>4.0999999999999996</v>
      </c>
      <c r="B102" s="133" t="s">
        <v>178</v>
      </c>
      <c r="C102" s="133"/>
      <c r="D102" s="133"/>
      <c r="E102" s="133"/>
      <c r="F102" s="133"/>
      <c r="G102" s="142"/>
      <c r="H102" s="71"/>
    </row>
    <row r="103" spans="1:8" s="16" customFormat="1" ht="25">
      <c r="A103" s="60" t="s">
        <v>177</v>
      </c>
      <c r="B103" s="89" t="s">
        <v>179</v>
      </c>
      <c r="C103" s="88" t="s">
        <v>22</v>
      </c>
      <c r="D103" s="93">
        <v>300</v>
      </c>
      <c r="E103" s="108"/>
      <c r="F103" s="108"/>
      <c r="G103" s="142"/>
      <c r="H103" s="71"/>
    </row>
    <row r="104" spans="1:8" s="16" customFormat="1" ht="25">
      <c r="A104" s="88" t="s">
        <v>180</v>
      </c>
      <c r="B104" s="89" t="s">
        <v>181</v>
      </c>
      <c r="C104" s="88" t="s">
        <v>15</v>
      </c>
      <c r="D104" s="93">
        <f>ROUND(40+4+(279*2.8),0)</f>
        <v>825</v>
      </c>
      <c r="E104" s="108"/>
      <c r="F104" s="108"/>
      <c r="G104" s="142"/>
      <c r="H104" s="71"/>
    </row>
    <row r="105" spans="1:8" s="16" customFormat="1" ht="87.5">
      <c r="A105" s="88" t="s">
        <v>182</v>
      </c>
      <c r="B105" s="99" t="s">
        <v>183</v>
      </c>
      <c r="C105" s="88" t="s">
        <v>22</v>
      </c>
      <c r="D105" s="90">
        <v>5</v>
      </c>
      <c r="E105" s="108"/>
      <c r="F105" s="108"/>
      <c r="G105" s="142"/>
      <c r="H105" s="71"/>
    </row>
    <row r="106" spans="1:8" s="16" customFormat="1" ht="14">
      <c r="A106" s="83">
        <v>4.1100000000000003</v>
      </c>
      <c r="B106" s="133" t="s">
        <v>185</v>
      </c>
      <c r="C106" s="133"/>
      <c r="D106" s="133"/>
      <c r="E106" s="133"/>
      <c r="F106" s="133"/>
      <c r="G106" s="142"/>
      <c r="H106" s="71"/>
    </row>
    <row r="107" spans="1:8" s="16" customFormat="1" ht="25">
      <c r="A107" s="60" t="s">
        <v>184</v>
      </c>
      <c r="B107" s="89" t="s">
        <v>186</v>
      </c>
      <c r="C107" s="88" t="s">
        <v>15</v>
      </c>
      <c r="D107" s="93">
        <v>75</v>
      </c>
      <c r="E107" s="108"/>
      <c r="F107" s="108"/>
      <c r="G107" s="142"/>
      <c r="H107" s="71"/>
    </row>
    <row r="108" spans="1:8" s="16" customFormat="1" ht="14">
      <c r="A108" s="83">
        <v>4.12</v>
      </c>
      <c r="B108" s="133" t="s">
        <v>325</v>
      </c>
      <c r="C108" s="133"/>
      <c r="D108" s="133"/>
      <c r="E108" s="133"/>
      <c r="F108" s="133"/>
      <c r="G108" s="142"/>
      <c r="H108" s="71"/>
    </row>
    <row r="109" spans="1:8" s="16" customFormat="1" ht="112.5">
      <c r="A109" s="60" t="s">
        <v>324</v>
      </c>
      <c r="B109" s="62" t="s">
        <v>326</v>
      </c>
      <c r="C109" s="113" t="s">
        <v>327</v>
      </c>
      <c r="D109" s="114">
        <v>1</v>
      </c>
      <c r="E109" s="115"/>
      <c r="F109" s="108"/>
      <c r="G109" s="143"/>
      <c r="H109" s="71"/>
    </row>
    <row r="110" spans="1:8" s="16" customFormat="1" ht="14">
      <c r="A110" s="100">
        <v>5</v>
      </c>
      <c r="B110" s="135" t="s">
        <v>187</v>
      </c>
      <c r="C110" s="135"/>
      <c r="D110" s="135"/>
      <c r="E110" s="135"/>
      <c r="F110" s="135"/>
      <c r="G110" s="101"/>
      <c r="H110" s="71"/>
    </row>
    <row r="111" spans="1:8" s="16" customFormat="1" ht="24" customHeight="1">
      <c r="A111" s="88" t="s">
        <v>188</v>
      </c>
      <c r="B111" s="89" t="s">
        <v>189</v>
      </c>
      <c r="C111" s="88" t="s">
        <v>190</v>
      </c>
      <c r="D111" s="93">
        <v>1</v>
      </c>
      <c r="E111" s="108"/>
      <c r="F111" s="108"/>
      <c r="G111" s="140"/>
      <c r="H111" s="71"/>
    </row>
    <row r="112" spans="1:8" s="16" customFormat="1" ht="25">
      <c r="A112" s="88" t="s">
        <v>191</v>
      </c>
      <c r="B112" s="89" t="s">
        <v>192</v>
      </c>
      <c r="C112" s="88" t="s">
        <v>190</v>
      </c>
      <c r="D112" s="93">
        <v>1</v>
      </c>
      <c r="E112" s="108"/>
      <c r="F112" s="108"/>
      <c r="G112" s="140"/>
      <c r="H112" s="71"/>
    </row>
    <row r="113" spans="1:8" s="16" customFormat="1" ht="24" customHeight="1">
      <c r="A113" s="88" t="s">
        <v>193</v>
      </c>
      <c r="B113" s="89" t="s">
        <v>194</v>
      </c>
      <c r="C113" s="88" t="s">
        <v>190</v>
      </c>
      <c r="D113" s="93">
        <v>1</v>
      </c>
      <c r="E113" s="108"/>
      <c r="F113" s="108"/>
      <c r="G113" s="140"/>
      <c r="H113" s="71"/>
    </row>
    <row r="114" spans="1:8" s="16" customFormat="1" ht="30.75" customHeight="1">
      <c r="A114" s="88" t="s">
        <v>195</v>
      </c>
      <c r="B114" s="89" t="s">
        <v>196</v>
      </c>
      <c r="C114" s="88" t="s">
        <v>190</v>
      </c>
      <c r="D114" s="93">
        <v>1</v>
      </c>
      <c r="E114" s="108"/>
      <c r="F114" s="108"/>
      <c r="G114" s="140"/>
      <c r="H114" s="71"/>
    </row>
    <row r="115" spans="1:8" ht="14.4" customHeight="1">
      <c r="A115" s="134" t="s">
        <v>197</v>
      </c>
      <c r="B115" s="134"/>
      <c r="C115" s="134"/>
      <c r="D115" s="134"/>
      <c r="E115" s="134"/>
      <c r="F115" s="134"/>
      <c r="G115" s="110"/>
    </row>
    <row r="116" spans="1:8" ht="14" customHeight="1">
      <c r="A116" s="134" t="s">
        <v>330</v>
      </c>
      <c r="B116" s="134"/>
      <c r="C116" s="134"/>
      <c r="D116" s="134"/>
      <c r="E116" s="134"/>
      <c r="F116" s="134"/>
      <c r="G116" s="110"/>
    </row>
    <row r="117" spans="1:8" ht="14" customHeight="1">
      <c r="A117" s="134" t="s">
        <v>328</v>
      </c>
      <c r="B117" s="134"/>
      <c r="C117" s="134"/>
      <c r="D117" s="134"/>
      <c r="E117" s="134"/>
      <c r="F117" s="134"/>
      <c r="G117" s="110"/>
    </row>
    <row r="118" spans="1:8" ht="14" customHeight="1">
      <c r="A118" s="136" t="s">
        <v>198</v>
      </c>
      <c r="B118" s="136"/>
      <c r="C118" s="136"/>
      <c r="D118" s="136"/>
      <c r="E118" s="136"/>
      <c r="F118" s="136"/>
      <c r="G118" s="110"/>
    </row>
    <row r="119" spans="1:8" ht="14" customHeight="1">
      <c r="A119" s="134" t="s">
        <v>331</v>
      </c>
      <c r="B119" s="134"/>
      <c r="C119" s="134"/>
      <c r="D119" s="134"/>
      <c r="E119" s="134"/>
      <c r="F119" s="134"/>
      <c r="G119" s="110"/>
    </row>
    <row r="120" spans="1:8" ht="14" customHeight="1">
      <c r="A120" s="136" t="s">
        <v>199</v>
      </c>
      <c r="B120" s="136"/>
      <c r="C120" s="136"/>
      <c r="D120" s="136"/>
      <c r="E120" s="136"/>
      <c r="F120" s="136"/>
      <c r="G120" s="110"/>
    </row>
    <row r="121" spans="1:8" ht="25.5" customHeight="1">
      <c r="A121" s="134" t="s">
        <v>329</v>
      </c>
      <c r="B121" s="134"/>
      <c r="C121" s="134"/>
      <c r="D121" s="134"/>
      <c r="E121" s="134"/>
      <c r="F121" s="134"/>
      <c r="G121" s="110"/>
    </row>
    <row r="122" spans="1:8" ht="14" customHeight="1">
      <c r="A122" s="131" t="s">
        <v>200</v>
      </c>
      <c r="B122" s="131"/>
      <c r="C122" s="131"/>
      <c r="D122" s="131"/>
      <c r="E122" s="131"/>
      <c r="F122" s="131"/>
      <c r="G122" s="111"/>
    </row>
    <row r="123" spans="1:8" ht="14"/>
    <row r="124" spans="1:8" ht="14"/>
    <row r="125" spans="1:8" ht="14"/>
    <row r="126" spans="1:8" ht="14"/>
    <row r="127" spans="1:8" ht="14"/>
    <row r="128" spans="1:8" ht="14"/>
    <row r="129" ht="14"/>
    <row r="130" ht="14"/>
  </sheetData>
  <mergeCells count="63">
    <mergeCell ref="G111:G114"/>
    <mergeCell ref="B49:F49"/>
    <mergeCell ref="B59:F59"/>
    <mergeCell ref="B58:F58"/>
    <mergeCell ref="G49:G64"/>
    <mergeCell ref="B108:F108"/>
    <mergeCell ref="G66:G109"/>
    <mergeCell ref="A120:F120"/>
    <mergeCell ref="B39:F39"/>
    <mergeCell ref="B99:F99"/>
    <mergeCell ref="B85:F85"/>
    <mergeCell ref="B86:F86"/>
    <mergeCell ref="B98:F98"/>
    <mergeCell ref="B82:F82"/>
    <mergeCell ref="B68:F68"/>
    <mergeCell ref="B78:F78"/>
    <mergeCell ref="B76:F76"/>
    <mergeCell ref="B61:F61"/>
    <mergeCell ref="B63:F63"/>
    <mergeCell ref="B44:F44"/>
    <mergeCell ref="B55:F55"/>
    <mergeCell ref="B56:F56"/>
    <mergeCell ref="B52:F52"/>
    <mergeCell ref="A118:F118"/>
    <mergeCell ref="B37:F37"/>
    <mergeCell ref="B41:F41"/>
    <mergeCell ref="B42:F42"/>
    <mergeCell ref="A119:F119"/>
    <mergeCell ref="B53:F53"/>
    <mergeCell ref="B48:F48"/>
    <mergeCell ref="B46:F46"/>
    <mergeCell ref="B102:F102"/>
    <mergeCell ref="A122:F122"/>
    <mergeCell ref="B7:F7"/>
    <mergeCell ref="B14:F14"/>
    <mergeCell ref="B50:F50"/>
    <mergeCell ref="B65:F65"/>
    <mergeCell ref="B66:F66"/>
    <mergeCell ref="B106:F106"/>
    <mergeCell ref="B88:F88"/>
    <mergeCell ref="B24:F24"/>
    <mergeCell ref="B25:F25"/>
    <mergeCell ref="B92:F92"/>
    <mergeCell ref="A121:F121"/>
    <mergeCell ref="B110:F110"/>
    <mergeCell ref="A115:F115"/>
    <mergeCell ref="A116:F116"/>
    <mergeCell ref="A117:F117"/>
    <mergeCell ref="G25:G47"/>
    <mergeCell ref="G7:G23"/>
    <mergeCell ref="B22:F22"/>
    <mergeCell ref="A1:G1"/>
    <mergeCell ref="A2:G2"/>
    <mergeCell ref="A3:G3"/>
    <mergeCell ref="A4:G4"/>
    <mergeCell ref="B6:F6"/>
    <mergeCell ref="A21:F21"/>
    <mergeCell ref="B31:F31"/>
    <mergeCell ref="B33:F33"/>
    <mergeCell ref="B34:F34"/>
    <mergeCell ref="B36:F36"/>
    <mergeCell ref="B29:F29"/>
    <mergeCell ref="B28:F28"/>
  </mergeCells>
  <phoneticPr fontId="4" type="noConversion"/>
  <printOptions horizontalCentered="1"/>
  <pageMargins left="0.25" right="0.25" top="0.75" bottom="0.75" header="0.3" footer="0.3"/>
  <pageSetup scale="69" fitToHeight="0" orientation="portrait" horizontalDpi="1200" verticalDpi="1200" r:id="rId1"/>
  <rowBreaks count="7" manualBreakCount="7">
    <brk id="27" max="16383" man="1"/>
    <brk id="35" max="16383" man="1"/>
    <brk id="43" max="16383" man="1"/>
    <brk id="51" max="16383" man="1"/>
    <brk id="60" max="16383" man="1"/>
    <brk id="77" max="16383" man="1"/>
    <brk id="9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18"/>
  <sheetViews>
    <sheetView view="pageBreakPreview" topLeftCell="A54" zoomScale="55" zoomScaleNormal="55" zoomScaleSheetLayoutView="55" workbookViewId="0">
      <selection activeCell="B61" sqref="B61:F61"/>
    </sheetView>
  </sheetViews>
  <sheetFormatPr baseColWidth="10" defaultColWidth="11.54296875" defaultRowHeight="14"/>
  <cols>
    <col min="1" max="1" width="9.90625" style="17" customWidth="1"/>
    <col min="2" max="2" width="63.36328125" style="2" customWidth="1"/>
    <col min="3" max="3" width="8.6328125" style="2" customWidth="1"/>
    <col min="4" max="4" width="11.36328125" style="15" customWidth="1"/>
    <col min="5" max="5" width="16.36328125" style="2" bestFit="1" customWidth="1"/>
    <col min="6" max="6" width="12.453125" style="2" customWidth="1"/>
    <col min="7" max="7" width="20.6328125" style="2" customWidth="1"/>
    <col min="8" max="8" width="18.36328125" style="2" customWidth="1"/>
    <col min="9" max="16384" width="11.54296875" style="2"/>
  </cols>
  <sheetData>
    <row r="1" spans="1:8" s="16" customFormat="1" ht="23.5" thickBot="1">
      <c r="A1" s="152" t="s">
        <v>0</v>
      </c>
      <c r="B1" s="153"/>
      <c r="C1" s="153"/>
      <c r="D1" s="153"/>
      <c r="E1" s="153"/>
      <c r="F1" s="153"/>
      <c r="G1" s="154"/>
    </row>
    <row r="2" spans="1:8" s="16" customFormat="1" ht="14.4" customHeight="1">
      <c r="A2" s="155" t="s">
        <v>1</v>
      </c>
      <c r="B2" s="156"/>
      <c r="C2" s="156"/>
      <c r="D2" s="156"/>
      <c r="E2" s="156"/>
      <c r="F2" s="156"/>
      <c r="G2" s="157"/>
    </row>
    <row r="3" spans="1:8" s="16" customFormat="1" ht="14.4" customHeight="1">
      <c r="A3" s="158" t="s">
        <v>2</v>
      </c>
      <c r="B3" s="159"/>
      <c r="C3" s="159"/>
      <c r="D3" s="159"/>
      <c r="E3" s="159"/>
      <c r="F3" s="159"/>
      <c r="G3" s="160"/>
    </row>
    <row r="4" spans="1:8" s="16" customFormat="1" ht="14.4" customHeight="1" thickBot="1">
      <c r="A4" s="158" t="s">
        <v>3</v>
      </c>
      <c r="B4" s="159"/>
      <c r="C4" s="159"/>
      <c r="D4" s="159"/>
      <c r="E4" s="159"/>
      <c r="F4" s="159"/>
      <c r="G4" s="160"/>
    </row>
    <row r="5" spans="1:8" ht="14.5" thickBot="1">
      <c r="A5" s="3" t="s">
        <v>4</v>
      </c>
      <c r="B5" s="4" t="s">
        <v>5</v>
      </c>
      <c r="C5" s="4" t="s">
        <v>6</v>
      </c>
      <c r="D5" s="5" t="s">
        <v>7</v>
      </c>
      <c r="E5" s="4" t="s">
        <v>8</v>
      </c>
      <c r="F5" s="4" t="s">
        <v>9</v>
      </c>
      <c r="G5" s="6" t="s">
        <v>10</v>
      </c>
    </row>
    <row r="6" spans="1:8" s="16" customFormat="1" ht="15" thickTop="1" thickBot="1">
      <c r="A6" s="21">
        <v>1</v>
      </c>
      <c r="B6" s="161" t="s">
        <v>11</v>
      </c>
      <c r="C6" s="162"/>
      <c r="D6" s="162"/>
      <c r="E6" s="162"/>
      <c r="F6" s="163"/>
      <c r="G6" s="22">
        <f>ROUND(SUM(F8:F17),2)</f>
        <v>18772.82</v>
      </c>
      <c r="H6" s="71"/>
    </row>
    <row r="7" spans="1:8" s="16" customFormat="1">
      <c r="A7" s="23">
        <v>1.1000000000000001</v>
      </c>
      <c r="B7" s="144" t="s">
        <v>201</v>
      </c>
      <c r="C7" s="144"/>
      <c r="D7" s="144"/>
      <c r="E7" s="144"/>
      <c r="F7" s="144"/>
      <c r="G7" s="145"/>
      <c r="H7" s="71"/>
    </row>
    <row r="8" spans="1:8" ht="27" customHeight="1">
      <c r="A8" s="7" t="s">
        <v>13</v>
      </c>
      <c r="B8" s="10" t="s">
        <v>202</v>
      </c>
      <c r="C8" s="12" t="s">
        <v>15</v>
      </c>
      <c r="D8" s="8">
        <f>ROUND(525.25+30.74+5-16-4-142,0)</f>
        <v>399</v>
      </c>
      <c r="E8" s="9">
        <v>4.3319512346061018</v>
      </c>
      <c r="F8" s="9">
        <f t="shared" ref="F8:F14" si="0">E8*D8</f>
        <v>1728.4485426078345</v>
      </c>
      <c r="G8" s="146"/>
      <c r="H8" s="29"/>
    </row>
    <row r="9" spans="1:8">
      <c r="A9" s="7" t="s">
        <v>16</v>
      </c>
      <c r="B9" s="10" t="s">
        <v>203</v>
      </c>
      <c r="C9" s="12" t="s">
        <v>15</v>
      </c>
      <c r="D9" s="8">
        <f>ROUND((7*2.6)+(4.8*0.6)+(40*0.3)+(2.6*2.6)+(15.7*2.6)+(5*2.6)+(14*2.6)+(5*2.8)+(16*2.8),0)</f>
        <v>189</v>
      </c>
      <c r="E9" s="9">
        <v>38.368710935082625</v>
      </c>
      <c r="F9" s="9">
        <f t="shared" si="0"/>
        <v>7251.6863667306161</v>
      </c>
      <c r="G9" s="146"/>
      <c r="H9" s="29"/>
    </row>
    <row r="10" spans="1:8">
      <c r="A10" s="7" t="s">
        <v>18</v>
      </c>
      <c r="B10" s="10" t="s">
        <v>21</v>
      </c>
      <c r="C10" s="12" t="s">
        <v>22</v>
      </c>
      <c r="D10" s="8">
        <f>ROUND(40.75+35.75+20.43+14.3+55.6+28.55,0)</f>
        <v>195</v>
      </c>
      <c r="E10" s="9">
        <v>21.659756173030512</v>
      </c>
      <c r="F10" s="9">
        <f t="shared" si="0"/>
        <v>4223.6524537409496</v>
      </c>
      <c r="G10" s="146"/>
    </row>
    <row r="11" spans="1:8">
      <c r="A11" s="7">
        <v>1.2</v>
      </c>
      <c r="B11" s="148" t="s">
        <v>204</v>
      </c>
      <c r="C11" s="148"/>
      <c r="D11" s="148"/>
      <c r="E11" s="148"/>
      <c r="F11" s="148"/>
      <c r="G11" s="146"/>
    </row>
    <row r="12" spans="1:8">
      <c r="A12" s="7" t="s">
        <v>205</v>
      </c>
      <c r="B12" s="10" t="s">
        <v>24</v>
      </c>
      <c r="C12" s="12" t="s">
        <v>25</v>
      </c>
      <c r="D12" s="8">
        <v>1</v>
      </c>
      <c r="E12" s="9">
        <v>71.167770282814544</v>
      </c>
      <c r="F12" s="9">
        <f t="shared" si="0"/>
        <v>71.167770282814544</v>
      </c>
      <c r="G12" s="146"/>
    </row>
    <row r="13" spans="1:8">
      <c r="A13" s="7" t="s">
        <v>206</v>
      </c>
      <c r="B13" s="10" t="s">
        <v>207</v>
      </c>
      <c r="C13" s="12" t="s">
        <v>15</v>
      </c>
      <c r="D13" s="8">
        <f>ROUND(59.56+15.65+6.2+23.68+1.96,0)</f>
        <v>107</v>
      </c>
      <c r="E13" s="9">
        <v>11.139303174701407</v>
      </c>
      <c r="F13" s="9">
        <f t="shared" si="0"/>
        <v>1191.9054396930505</v>
      </c>
      <c r="G13" s="146"/>
    </row>
    <row r="14" spans="1:8">
      <c r="A14" s="7" t="s">
        <v>208</v>
      </c>
      <c r="B14" s="10" t="s">
        <v>209</v>
      </c>
      <c r="C14" s="12" t="s">
        <v>22</v>
      </c>
      <c r="D14" s="8">
        <f>ROUND(94.4+16+24+9+12+3+3+12.3+6+40+16.38,0)</f>
        <v>236</v>
      </c>
      <c r="E14" s="9">
        <v>14.233554056562907</v>
      </c>
      <c r="F14" s="9">
        <f t="shared" si="0"/>
        <v>3359.118757348846</v>
      </c>
      <c r="G14" s="146"/>
    </row>
    <row r="15" spans="1:8">
      <c r="A15" s="7">
        <v>1.3</v>
      </c>
      <c r="B15" s="148" t="s">
        <v>210</v>
      </c>
      <c r="C15" s="148"/>
      <c r="D15" s="148"/>
      <c r="E15" s="148"/>
      <c r="F15" s="148"/>
      <c r="G15" s="146"/>
    </row>
    <row r="16" spans="1:8">
      <c r="A16" s="24" t="s">
        <v>44</v>
      </c>
      <c r="B16" s="10" t="s">
        <v>211</v>
      </c>
      <c r="C16" s="12" t="s">
        <v>39</v>
      </c>
      <c r="D16" s="8">
        <v>4</v>
      </c>
      <c r="E16" s="9">
        <v>105.20452998329105</v>
      </c>
      <c r="F16" s="9">
        <f t="shared" ref="F16:F17" si="1">D16*E16</f>
        <v>420.81811993316421</v>
      </c>
      <c r="G16" s="146"/>
    </row>
    <row r="17" spans="1:8">
      <c r="A17" s="24" t="s">
        <v>212</v>
      </c>
      <c r="B17" s="10" t="s">
        <v>213</v>
      </c>
      <c r="C17" s="12" t="s">
        <v>39</v>
      </c>
      <c r="D17" s="8">
        <v>5</v>
      </c>
      <c r="E17" s="9">
        <v>105.20452998329105</v>
      </c>
      <c r="F17" s="9">
        <f t="shared" si="1"/>
        <v>526.02264991645529</v>
      </c>
      <c r="G17" s="146"/>
    </row>
    <row r="18" spans="1:8" ht="14.5" thickBot="1">
      <c r="A18" s="24"/>
      <c r="B18" s="149"/>
      <c r="C18" s="150"/>
      <c r="D18" s="150"/>
      <c r="E18" s="150"/>
      <c r="F18" s="151"/>
      <c r="G18" s="147"/>
    </row>
    <row r="19" spans="1:8" s="16" customFormat="1" ht="14.5" thickTop="1">
      <c r="A19" s="21">
        <v>2</v>
      </c>
      <c r="B19" s="161" t="s">
        <v>46</v>
      </c>
      <c r="C19" s="162"/>
      <c r="D19" s="162"/>
      <c r="E19" s="162"/>
      <c r="F19" s="163"/>
      <c r="G19" s="22">
        <f>ROUND(SUM(F20:F23),2)</f>
        <v>221354.76</v>
      </c>
      <c r="H19" s="71"/>
    </row>
    <row r="20" spans="1:8" ht="182">
      <c r="A20" s="24">
        <v>2.1</v>
      </c>
      <c r="B20" s="25" t="s">
        <v>214</v>
      </c>
      <c r="C20" s="12" t="s">
        <v>15</v>
      </c>
      <c r="D20" s="8">
        <f>ROUND(167.55+204.11+51.47+51.47,0)</f>
        <v>475</v>
      </c>
      <c r="E20" s="9">
        <v>352.74460053221122</v>
      </c>
      <c r="F20" s="9">
        <f>E20*D20</f>
        <v>167553.68525280032</v>
      </c>
      <c r="G20" s="172"/>
      <c r="H20" s="71"/>
    </row>
    <row r="21" spans="1:8" ht="156">
      <c r="A21" s="24">
        <v>2.2000000000000002</v>
      </c>
      <c r="B21" s="10" t="s">
        <v>215</v>
      </c>
      <c r="C21" s="12" t="s">
        <v>15</v>
      </c>
      <c r="D21" s="8">
        <v>70</v>
      </c>
      <c r="E21" s="9">
        <v>352.74460053221122</v>
      </c>
      <c r="F21" s="9">
        <f>E21*D21</f>
        <v>24692.122037254787</v>
      </c>
      <c r="G21" s="173"/>
      <c r="H21" s="29"/>
    </row>
    <row r="22" spans="1:8" ht="39">
      <c r="A22" s="24" t="s">
        <v>54</v>
      </c>
      <c r="B22" s="10" t="s">
        <v>51</v>
      </c>
      <c r="C22" s="12" t="s">
        <v>52</v>
      </c>
      <c r="D22" s="8">
        <f>ROUND((7+4.55+5.4+4.25+1.9)*2.6,0)</f>
        <v>60</v>
      </c>
      <c r="E22" s="9">
        <v>68.692369577325337</v>
      </c>
      <c r="F22" s="9">
        <f>E22*D22</f>
        <v>4121.5421746395205</v>
      </c>
      <c r="G22" s="173"/>
      <c r="H22" s="29"/>
    </row>
    <row r="23" spans="1:8" ht="210">
      <c r="A23" s="24">
        <v>2.2999999999999998</v>
      </c>
      <c r="B23" s="53" t="s">
        <v>216</v>
      </c>
      <c r="C23" s="12" t="s">
        <v>15</v>
      </c>
      <c r="D23" s="8">
        <f>ROUND(32.52,0)</f>
        <v>33</v>
      </c>
      <c r="E23" s="9">
        <v>757.19413330032808</v>
      </c>
      <c r="F23" s="9">
        <f>E23*D23</f>
        <v>24987.406398910825</v>
      </c>
      <c r="G23" s="173"/>
      <c r="H23" s="29"/>
    </row>
    <row r="24" spans="1:8" ht="14.4" customHeight="1" thickBot="1">
      <c r="A24" s="54"/>
      <c r="B24" s="149"/>
      <c r="C24" s="150"/>
      <c r="D24" s="150"/>
      <c r="E24" s="150"/>
      <c r="F24" s="151"/>
      <c r="G24" s="173"/>
      <c r="H24" s="29"/>
    </row>
    <row r="25" spans="1:8" ht="14.4" customHeight="1" thickTop="1">
      <c r="A25" s="21">
        <v>3</v>
      </c>
      <c r="B25" s="161" t="s">
        <v>87</v>
      </c>
      <c r="C25" s="162"/>
      <c r="D25" s="162"/>
      <c r="E25" s="162"/>
      <c r="F25" s="163"/>
      <c r="G25" s="1">
        <f>ROUND(SUM(F27:F42),2)</f>
        <v>290463.52</v>
      </c>
      <c r="H25" s="71"/>
    </row>
    <row r="26" spans="1:8" ht="14.4" customHeight="1">
      <c r="A26" s="24">
        <v>3.1</v>
      </c>
      <c r="B26" s="55" t="s">
        <v>217</v>
      </c>
      <c r="C26" s="55"/>
      <c r="D26" s="55"/>
      <c r="E26" s="55"/>
      <c r="F26" s="55"/>
      <c r="G26" s="172"/>
      <c r="H26" s="71"/>
    </row>
    <row r="27" spans="1:8" s="52" customFormat="1" ht="52">
      <c r="A27" s="164" t="s">
        <v>89</v>
      </c>
      <c r="B27" s="55" t="s">
        <v>218</v>
      </c>
      <c r="C27" s="166" t="s">
        <v>219</v>
      </c>
      <c r="D27" s="168">
        <v>1</v>
      </c>
      <c r="E27" s="170">
        <v>31106.504115353677</v>
      </c>
      <c r="F27" s="170">
        <f>E27</f>
        <v>31106.504115353677</v>
      </c>
      <c r="G27" s="173"/>
      <c r="H27" s="29"/>
    </row>
    <row r="28" spans="1:8" s="52" customFormat="1" ht="26">
      <c r="A28" s="165"/>
      <c r="B28" s="55" t="s">
        <v>220</v>
      </c>
      <c r="C28" s="167"/>
      <c r="D28" s="169"/>
      <c r="E28" s="171"/>
      <c r="F28" s="171"/>
      <c r="G28" s="173"/>
      <c r="H28" s="29"/>
    </row>
    <row r="29" spans="1:8" s="52" customFormat="1" ht="39">
      <c r="A29" s="165"/>
      <c r="B29" s="55" t="s">
        <v>221</v>
      </c>
      <c r="C29" s="167"/>
      <c r="D29" s="169"/>
      <c r="E29" s="171"/>
      <c r="F29" s="171"/>
      <c r="G29" s="173"/>
      <c r="H29" s="51"/>
    </row>
    <row r="30" spans="1:8" s="52" customFormat="1">
      <c r="A30" s="165"/>
      <c r="B30" s="55" t="s">
        <v>222</v>
      </c>
      <c r="C30" s="167"/>
      <c r="D30" s="169"/>
      <c r="E30" s="171"/>
      <c r="F30" s="171"/>
      <c r="G30" s="173"/>
      <c r="H30" s="51"/>
    </row>
    <row r="31" spans="1:8" s="52" customFormat="1" ht="26">
      <c r="A31" s="165"/>
      <c r="B31" s="55" t="s">
        <v>223</v>
      </c>
      <c r="C31" s="167"/>
      <c r="D31" s="169"/>
      <c r="E31" s="171"/>
      <c r="F31" s="171"/>
      <c r="G31" s="173"/>
      <c r="H31" s="51"/>
    </row>
    <row r="32" spans="1:8" s="52" customFormat="1">
      <c r="A32" s="165"/>
      <c r="B32" s="55" t="s">
        <v>224</v>
      </c>
      <c r="C32" s="167"/>
      <c r="D32" s="169"/>
      <c r="E32" s="171"/>
      <c r="F32" s="171"/>
      <c r="G32" s="173"/>
      <c r="H32" s="51"/>
    </row>
    <row r="33" spans="1:8" s="52" customFormat="1">
      <c r="A33" s="165"/>
      <c r="B33" s="55" t="s">
        <v>225</v>
      </c>
      <c r="C33" s="167"/>
      <c r="D33" s="169"/>
      <c r="E33" s="171"/>
      <c r="F33" s="171"/>
      <c r="G33" s="173"/>
      <c r="H33" s="51"/>
    </row>
    <row r="34" spans="1:8" s="52" customFormat="1" ht="26">
      <c r="A34" s="165"/>
      <c r="B34" s="55" t="s">
        <v>226</v>
      </c>
      <c r="C34" s="167"/>
      <c r="D34" s="169"/>
      <c r="E34" s="171"/>
      <c r="F34" s="171"/>
      <c r="G34" s="173"/>
      <c r="H34" s="51"/>
    </row>
    <row r="35" spans="1:8" s="52" customFormat="1">
      <c r="A35" s="165"/>
      <c r="B35" s="55" t="s">
        <v>227</v>
      </c>
      <c r="C35" s="167"/>
      <c r="D35" s="169"/>
      <c r="E35" s="171"/>
      <c r="F35" s="171"/>
      <c r="G35" s="173"/>
      <c r="H35" s="51"/>
    </row>
    <row r="36" spans="1:8" s="52" customFormat="1" ht="104">
      <c r="A36" s="165"/>
      <c r="B36" s="55" t="s">
        <v>228</v>
      </c>
      <c r="C36" s="167"/>
      <c r="D36" s="169"/>
      <c r="E36" s="171"/>
      <c r="F36" s="171"/>
      <c r="G36" s="173"/>
      <c r="H36" s="51"/>
    </row>
    <row r="37" spans="1:8" s="52" customFormat="1" ht="65">
      <c r="A37" s="165"/>
      <c r="B37" s="55" t="s">
        <v>229</v>
      </c>
      <c r="C37" s="167"/>
      <c r="D37" s="169"/>
      <c r="E37" s="171"/>
      <c r="F37" s="171"/>
      <c r="G37" s="173"/>
      <c r="H37" s="51"/>
    </row>
    <row r="38" spans="1:8" s="52" customFormat="1" ht="208">
      <c r="A38" s="24" t="s">
        <v>230</v>
      </c>
      <c r="B38" s="55" t="s">
        <v>231</v>
      </c>
      <c r="C38" s="12" t="s">
        <v>15</v>
      </c>
      <c r="D38" s="8">
        <f>ROUND(12.77+10.27+6.07+6.07,0)</f>
        <v>35</v>
      </c>
      <c r="E38" s="56">
        <v>1064.4223033603566</v>
      </c>
      <c r="F38" s="9">
        <f>E38*D38</f>
        <v>37254.78061761248</v>
      </c>
      <c r="G38" s="173"/>
      <c r="H38" s="51"/>
    </row>
    <row r="39" spans="1:8" s="52" customFormat="1" ht="39">
      <c r="A39" s="24" t="s">
        <v>232</v>
      </c>
      <c r="B39" s="10" t="s">
        <v>233</v>
      </c>
      <c r="C39" s="12" t="s">
        <v>219</v>
      </c>
      <c r="D39" s="8">
        <v>1</v>
      </c>
      <c r="E39" s="56">
        <v>54582.585556036887</v>
      </c>
      <c r="F39" s="9">
        <f t="shared" ref="F39" si="2">E39*D39</f>
        <v>54582.585556036887</v>
      </c>
      <c r="G39" s="173"/>
      <c r="H39" s="51"/>
    </row>
    <row r="40" spans="1:8" s="52" customFormat="1" ht="104">
      <c r="A40" s="24" t="s">
        <v>234</v>
      </c>
      <c r="B40" s="25" t="s">
        <v>235</v>
      </c>
      <c r="C40" s="12" t="s">
        <v>15</v>
      </c>
      <c r="D40" s="8">
        <v>160</v>
      </c>
      <c r="E40" s="56">
        <v>529.73575097468904</v>
      </c>
      <c r="F40" s="9">
        <f>E40*D40</f>
        <v>84757.720155950243</v>
      </c>
      <c r="G40" s="173"/>
      <c r="H40" s="51"/>
    </row>
    <row r="41" spans="1:8" s="52" customFormat="1" ht="26">
      <c r="A41" s="24" t="s">
        <v>236</v>
      </c>
      <c r="B41" s="25" t="s">
        <v>135</v>
      </c>
      <c r="C41" s="12" t="s">
        <v>15</v>
      </c>
      <c r="D41" s="8">
        <v>180</v>
      </c>
      <c r="E41" s="56">
        <v>25.991707407636618</v>
      </c>
      <c r="F41" s="9">
        <f>E41*D41</f>
        <v>4678.5073333745913</v>
      </c>
      <c r="G41" s="173"/>
      <c r="H41" s="51"/>
    </row>
    <row r="42" spans="1:8" s="52" customFormat="1" ht="63" customHeight="1">
      <c r="A42" s="24" t="s">
        <v>237</v>
      </c>
      <c r="B42" s="10" t="s">
        <v>238</v>
      </c>
      <c r="C42" s="12" t="s">
        <v>15</v>
      </c>
      <c r="D42" s="8">
        <f>ROUND(115.45+16+10.1+1.1+31.87+25.78+4.13+40.28,0)</f>
        <v>245</v>
      </c>
      <c r="E42" s="56">
        <v>318.7078408317347</v>
      </c>
      <c r="F42" s="9">
        <f>D42*E42</f>
        <v>78083.421003775002</v>
      </c>
      <c r="G42" s="173"/>
      <c r="H42" s="51"/>
    </row>
    <row r="43" spans="1:8" ht="14.4" customHeight="1" thickBot="1">
      <c r="A43" s="54"/>
      <c r="B43" s="57"/>
      <c r="C43" s="58"/>
      <c r="D43" s="58"/>
      <c r="E43" s="58"/>
      <c r="F43" s="59"/>
      <c r="G43" s="173"/>
      <c r="H43" s="29"/>
    </row>
    <row r="44" spans="1:8" ht="14.4" customHeight="1" thickTop="1">
      <c r="A44" s="21">
        <v>4</v>
      </c>
      <c r="B44" s="161" t="s">
        <v>239</v>
      </c>
      <c r="C44" s="162"/>
      <c r="D44" s="162"/>
      <c r="E44" s="162"/>
      <c r="F44" s="163"/>
      <c r="G44" s="1">
        <f>ROUND(SUM(F45:F53),2)</f>
        <v>19655.3</v>
      </c>
      <c r="H44" s="71"/>
    </row>
    <row r="45" spans="1:8" ht="14.4" customHeight="1">
      <c r="A45" s="24">
        <v>4.0999999999999996</v>
      </c>
      <c r="B45" s="10" t="s">
        <v>120</v>
      </c>
      <c r="C45" s="12" t="s">
        <v>15</v>
      </c>
      <c r="D45" s="8">
        <f>ROUND(46.08+398+6,0)</f>
        <v>450</v>
      </c>
      <c r="E45" s="9">
        <v>2.4754007054892018</v>
      </c>
      <c r="F45" s="9">
        <f>E45*D45</f>
        <v>1113.9303174701408</v>
      </c>
      <c r="G45" s="174"/>
      <c r="H45" s="71"/>
    </row>
    <row r="46" spans="1:8" ht="14.4" customHeight="1">
      <c r="A46" s="24">
        <v>4.2</v>
      </c>
      <c r="B46" s="10" t="s">
        <v>240</v>
      </c>
      <c r="C46" s="12" t="s">
        <v>15</v>
      </c>
      <c r="D46" s="8">
        <f>ROUND(46.08+4,0)</f>
        <v>50</v>
      </c>
      <c r="E46" s="9">
        <v>4.3319512346061018</v>
      </c>
      <c r="F46" s="9">
        <f>E46*D46</f>
        <v>216.59756173030507</v>
      </c>
      <c r="G46" s="175"/>
      <c r="H46" s="29"/>
    </row>
    <row r="47" spans="1:8">
      <c r="A47" s="24">
        <v>4.3</v>
      </c>
      <c r="B47" s="10" t="s">
        <v>122</v>
      </c>
      <c r="C47" s="12" t="s">
        <v>15</v>
      </c>
      <c r="D47" s="8">
        <f>ROUND(46.08+4,0)</f>
        <v>50</v>
      </c>
      <c r="E47" s="9">
        <v>42.081811993316421</v>
      </c>
      <c r="F47" s="9">
        <f t="shared" ref="F47:F48" si="3">E47*D47</f>
        <v>2104.0905996658212</v>
      </c>
      <c r="G47" s="175"/>
      <c r="H47" s="29"/>
    </row>
    <row r="48" spans="1:8">
      <c r="A48" s="24">
        <v>4.4000000000000004</v>
      </c>
      <c r="B48" s="10" t="s">
        <v>124</v>
      </c>
      <c r="C48" s="12" t="s">
        <v>15</v>
      </c>
      <c r="D48" s="8">
        <v>2</v>
      </c>
      <c r="E48" s="9">
        <v>75.499721517420639</v>
      </c>
      <c r="F48" s="9">
        <f t="shared" si="3"/>
        <v>150.99944303484128</v>
      </c>
      <c r="G48" s="175"/>
    </row>
    <row r="49" spans="1:8" ht="39">
      <c r="A49" s="24">
        <v>4.5</v>
      </c>
      <c r="B49" s="10" t="s">
        <v>241</v>
      </c>
      <c r="C49" s="12" t="s">
        <v>15</v>
      </c>
      <c r="D49" s="8">
        <f>ROUND(3.16+3.16+8.62+8.91,0)</f>
        <v>24</v>
      </c>
      <c r="E49" s="9">
        <v>50.745714462528632</v>
      </c>
      <c r="F49" s="9">
        <f>E49*D49</f>
        <v>1217.8971471006871</v>
      </c>
      <c r="G49" s="175"/>
    </row>
    <row r="50" spans="1:8" ht="26">
      <c r="A50" s="24">
        <v>4.5999999999999996</v>
      </c>
      <c r="B50" s="10" t="s">
        <v>242</v>
      </c>
      <c r="C50" s="12" t="s">
        <v>15</v>
      </c>
      <c r="D50" s="8">
        <v>25</v>
      </c>
      <c r="E50" s="9">
        <v>73.643170988303751</v>
      </c>
      <c r="F50" s="9">
        <f>D50*E50</f>
        <v>1841.0792747075939</v>
      </c>
      <c r="G50" s="175"/>
    </row>
    <row r="51" spans="1:8" ht="26">
      <c r="A51" s="24">
        <v>4.7</v>
      </c>
      <c r="B51" s="10" t="s">
        <v>243</v>
      </c>
      <c r="C51" s="12" t="s">
        <v>15</v>
      </c>
      <c r="D51" s="8">
        <f>ROUND(25.85+28.44+7.88,0)</f>
        <v>62</v>
      </c>
      <c r="E51" s="9">
        <v>84.163623986632842</v>
      </c>
      <c r="F51" s="9">
        <f t="shared" ref="F51" si="4">D51*E51</f>
        <v>5218.144687171236</v>
      </c>
      <c r="G51" s="175"/>
    </row>
    <row r="52" spans="1:8" ht="26">
      <c r="A52" s="24">
        <v>4.8</v>
      </c>
      <c r="B52" s="10" t="s">
        <v>244</v>
      </c>
      <c r="C52" s="12" t="s">
        <v>15</v>
      </c>
      <c r="D52" s="8">
        <f>ROUND((12.6*2.6)+(2.5*2.6)+1,0)</f>
        <v>40</v>
      </c>
      <c r="E52" s="9">
        <v>173.2780493842441</v>
      </c>
      <c r="F52" s="9">
        <f>E52*D52</f>
        <v>6931.1219753697642</v>
      </c>
      <c r="G52" s="175"/>
    </row>
    <row r="53" spans="1:8" ht="52">
      <c r="A53" s="24">
        <v>4.9000000000000004</v>
      </c>
      <c r="B53" s="10" t="s">
        <v>245</v>
      </c>
      <c r="C53" s="12" t="s">
        <v>22</v>
      </c>
      <c r="D53" s="8">
        <f>4*2</f>
        <v>8</v>
      </c>
      <c r="E53" s="9">
        <v>107.67993068878026</v>
      </c>
      <c r="F53" s="9">
        <f>E53*D53</f>
        <v>861.43944551024208</v>
      </c>
      <c r="G53" s="175"/>
    </row>
    <row r="54" spans="1:8" ht="14.4" customHeight="1" thickBot="1">
      <c r="A54" s="54"/>
      <c r="B54" s="57"/>
      <c r="C54" s="58"/>
      <c r="D54" s="58"/>
      <c r="E54" s="58"/>
      <c r="F54" s="59"/>
      <c r="G54" s="175"/>
    </row>
    <row r="55" spans="1:8" ht="14.5" thickTop="1">
      <c r="A55" s="21">
        <v>5</v>
      </c>
      <c r="B55" s="161" t="s">
        <v>246</v>
      </c>
      <c r="C55" s="162"/>
      <c r="D55" s="162"/>
      <c r="E55" s="162"/>
      <c r="F55" s="163"/>
      <c r="G55" s="1">
        <f>ROUND(SUM(F56:F58),2)</f>
        <v>6661.84</v>
      </c>
      <c r="H55" s="71"/>
    </row>
    <row r="56" spans="1:8" ht="78">
      <c r="A56" s="24">
        <v>5.0999999999999996</v>
      </c>
      <c r="B56" s="26" t="s">
        <v>183</v>
      </c>
      <c r="C56" s="12" t="s">
        <v>22</v>
      </c>
      <c r="D56" s="8">
        <v>5</v>
      </c>
      <c r="E56" s="9">
        <v>20.422055820285909</v>
      </c>
      <c r="F56" s="9">
        <f>E56*D56</f>
        <v>102.11027910142954</v>
      </c>
      <c r="G56" s="172"/>
      <c r="H56" s="71"/>
    </row>
    <row r="57" spans="1:8" ht="26">
      <c r="A57" s="24">
        <v>5.2</v>
      </c>
      <c r="B57" s="10" t="s">
        <v>247</v>
      </c>
      <c r="C57" s="12" t="s">
        <v>22</v>
      </c>
      <c r="D57" s="8">
        <f>ROUND(8.56+3+3+3+3+3.3+3.3,0)</f>
        <v>27</v>
      </c>
      <c r="E57" s="9">
        <v>86.639024692122049</v>
      </c>
      <c r="F57" s="9">
        <f>E57*D57</f>
        <v>2339.2536666872952</v>
      </c>
      <c r="G57" s="173"/>
      <c r="H57" s="29"/>
    </row>
    <row r="58" spans="1:8" ht="26">
      <c r="A58" s="24">
        <v>5.3</v>
      </c>
      <c r="B58" s="10" t="s">
        <v>248</v>
      </c>
      <c r="C58" s="12" t="s">
        <v>22</v>
      </c>
      <c r="D58" s="8">
        <v>30</v>
      </c>
      <c r="E58" s="9">
        <v>140.68268015170673</v>
      </c>
      <c r="F58" s="9">
        <f>E58*D58</f>
        <v>4220.4804045512019</v>
      </c>
      <c r="G58" s="18"/>
      <c r="H58" s="29"/>
    </row>
    <row r="59" spans="1:8" ht="14.5" thickBot="1">
      <c r="A59" s="54"/>
      <c r="B59" s="64"/>
      <c r="C59" s="65"/>
      <c r="D59" s="65"/>
      <c r="E59" s="65"/>
      <c r="F59" s="66"/>
      <c r="G59" s="18"/>
      <c r="H59" s="29"/>
    </row>
    <row r="60" spans="1:8" s="16" customFormat="1" ht="14.5" thickTop="1">
      <c r="A60" s="21">
        <v>6</v>
      </c>
      <c r="B60" s="161" t="s">
        <v>249</v>
      </c>
      <c r="C60" s="162"/>
      <c r="D60" s="162"/>
      <c r="E60" s="162"/>
      <c r="F60" s="163"/>
      <c r="G60" s="1">
        <f>ROUND(SUM(F61:F61),2)</f>
        <v>1144.8699999999999</v>
      </c>
      <c r="H60" s="71"/>
    </row>
    <row r="61" spans="1:8" ht="52">
      <c r="A61" s="24">
        <v>6.1</v>
      </c>
      <c r="B61" s="10" t="s">
        <v>250</v>
      </c>
      <c r="C61" s="12" t="s">
        <v>22</v>
      </c>
      <c r="D61" s="8">
        <v>25</v>
      </c>
      <c r="E61" s="9">
        <v>45.794913051550232</v>
      </c>
      <c r="F61" s="9">
        <f>E61*D61</f>
        <v>1144.8728262887557</v>
      </c>
      <c r="G61" s="176"/>
      <c r="H61" s="71"/>
    </row>
    <row r="62" spans="1:8" ht="15" customHeight="1" thickBot="1">
      <c r="A62" s="67"/>
      <c r="B62" s="177"/>
      <c r="C62" s="178"/>
      <c r="D62" s="178"/>
      <c r="E62" s="178"/>
      <c r="F62" s="179"/>
      <c r="G62" s="176"/>
      <c r="H62" s="29"/>
    </row>
    <row r="63" spans="1:8" s="16" customFormat="1" ht="14.4" customHeight="1" thickTop="1">
      <c r="A63" s="21">
        <v>7</v>
      </c>
      <c r="B63" s="161" t="s">
        <v>251</v>
      </c>
      <c r="C63" s="162"/>
      <c r="D63" s="162"/>
      <c r="E63" s="162"/>
      <c r="F63" s="163"/>
      <c r="G63" s="1">
        <f>ROUND(SUM(F65:F70),2)</f>
        <v>9389.19</v>
      </c>
      <c r="H63" s="71"/>
    </row>
    <row r="64" spans="1:8">
      <c r="A64" s="24">
        <v>7.1</v>
      </c>
      <c r="B64" s="180" t="s">
        <v>252</v>
      </c>
      <c r="C64" s="181"/>
      <c r="D64" s="181"/>
      <c r="E64" s="181"/>
      <c r="F64" s="182"/>
      <c r="G64" s="183"/>
      <c r="H64" s="71"/>
    </row>
    <row r="65" spans="1:8" ht="52">
      <c r="A65" s="24" t="s">
        <v>253</v>
      </c>
      <c r="B65" s="10" t="s">
        <v>254</v>
      </c>
      <c r="C65" s="12" t="s">
        <v>15</v>
      </c>
      <c r="D65" s="8">
        <v>2</v>
      </c>
      <c r="E65" s="9">
        <v>165.85184726777649</v>
      </c>
      <c r="F65" s="9">
        <f>E65*D65</f>
        <v>331.70369453555298</v>
      </c>
      <c r="G65" s="176"/>
      <c r="H65" s="29"/>
    </row>
    <row r="66" spans="1:8" ht="26">
      <c r="A66" s="24" t="s">
        <v>255</v>
      </c>
      <c r="B66" s="10" t="s">
        <v>256</v>
      </c>
      <c r="C66" s="12" t="s">
        <v>15</v>
      </c>
      <c r="D66" s="8">
        <v>2</v>
      </c>
      <c r="E66" s="9">
        <v>50.126864286156327</v>
      </c>
      <c r="F66" s="9">
        <f>E66*D66</f>
        <v>100.25372857231265</v>
      </c>
      <c r="G66" s="176"/>
      <c r="H66" s="29"/>
    </row>
    <row r="67" spans="1:8">
      <c r="A67" s="24">
        <v>7.2</v>
      </c>
      <c r="B67" s="180" t="s">
        <v>257</v>
      </c>
      <c r="C67" s="181"/>
      <c r="D67" s="181"/>
      <c r="E67" s="181"/>
      <c r="F67" s="182"/>
      <c r="G67" s="176"/>
      <c r="H67" s="29"/>
    </row>
    <row r="68" spans="1:8" ht="65">
      <c r="A68" s="24" t="s">
        <v>258</v>
      </c>
      <c r="B68" s="10" t="s">
        <v>259</v>
      </c>
      <c r="C68" s="12" t="s">
        <v>219</v>
      </c>
      <c r="D68" s="8">
        <v>1</v>
      </c>
      <c r="E68" s="9">
        <v>909.70975926728147</v>
      </c>
      <c r="F68" s="9">
        <f t="shared" ref="F68:F70" si="5">E68*D68</f>
        <v>909.70975926728147</v>
      </c>
      <c r="G68" s="176"/>
      <c r="H68" s="29"/>
    </row>
    <row r="69" spans="1:8" ht="78">
      <c r="A69" s="24" t="s">
        <v>260</v>
      </c>
      <c r="B69" s="10" t="s">
        <v>261</v>
      </c>
      <c r="C69" s="12" t="s">
        <v>219</v>
      </c>
      <c r="D69" s="8">
        <v>2</v>
      </c>
      <c r="E69" s="9">
        <v>3333.1270499412099</v>
      </c>
      <c r="F69" s="9">
        <f t="shared" si="5"/>
        <v>6666.2540998824197</v>
      </c>
      <c r="G69" s="176"/>
    </row>
    <row r="70" spans="1:8" ht="78">
      <c r="A70" s="24" t="s">
        <v>262</v>
      </c>
      <c r="B70" s="10" t="s">
        <v>263</v>
      </c>
      <c r="C70" s="12" t="s">
        <v>39</v>
      </c>
      <c r="D70" s="8">
        <v>3</v>
      </c>
      <c r="E70" s="9">
        <v>460.42453122099147</v>
      </c>
      <c r="F70" s="9">
        <f t="shared" si="5"/>
        <v>1381.2735936629745</v>
      </c>
      <c r="G70" s="176"/>
    </row>
    <row r="71" spans="1:8" ht="14.5" thickBot="1">
      <c r="A71" s="63"/>
      <c r="B71" s="184"/>
      <c r="C71" s="184"/>
      <c r="D71" s="184"/>
      <c r="E71" s="184"/>
      <c r="F71" s="184"/>
      <c r="G71" s="176"/>
    </row>
    <row r="72" spans="1:8" s="16" customFormat="1" ht="14.5" thickTop="1">
      <c r="A72" s="21">
        <v>8</v>
      </c>
      <c r="B72" s="161" t="s">
        <v>264</v>
      </c>
      <c r="C72" s="162"/>
      <c r="D72" s="162"/>
      <c r="E72" s="162"/>
      <c r="F72" s="163"/>
      <c r="G72" s="1">
        <f>ROUND(SUM(F73:F78),2)</f>
        <v>37802.46</v>
      </c>
      <c r="H72" s="71"/>
    </row>
    <row r="73" spans="1:8" s="16" customFormat="1" ht="26">
      <c r="A73" s="24">
        <v>8.1</v>
      </c>
      <c r="B73" s="10" t="s">
        <v>265</v>
      </c>
      <c r="C73" s="12" t="s">
        <v>15</v>
      </c>
      <c r="D73" s="8">
        <f>ROUND(40+4+(279*2.8),0)</f>
        <v>825</v>
      </c>
      <c r="E73" s="9">
        <v>11.139303174701407</v>
      </c>
      <c r="F73" s="9">
        <f t="shared" ref="F73:F78" si="6">E73*D73</f>
        <v>9189.9251191286603</v>
      </c>
      <c r="G73" s="174"/>
      <c r="H73" s="71"/>
    </row>
    <row r="74" spans="1:8" s="16" customFormat="1" ht="26">
      <c r="A74" s="24">
        <v>8.1999999999999993</v>
      </c>
      <c r="B74" s="10" t="s">
        <v>266</v>
      </c>
      <c r="C74" s="12" t="s">
        <v>15</v>
      </c>
      <c r="D74" s="8">
        <f>ROUND(40+4+(279*2.8),0)</f>
        <v>825</v>
      </c>
      <c r="E74" s="9">
        <v>4.9508014109784035</v>
      </c>
      <c r="F74" s="9">
        <f t="shared" si="6"/>
        <v>4084.4111640571828</v>
      </c>
      <c r="G74" s="175"/>
      <c r="H74" s="29"/>
    </row>
    <row r="75" spans="1:8" ht="26">
      <c r="A75" s="24">
        <v>8.3000000000000007</v>
      </c>
      <c r="B75" s="10" t="s">
        <v>267</v>
      </c>
      <c r="C75" s="12" t="s">
        <v>15</v>
      </c>
      <c r="D75" s="8">
        <f>ROUND(68.2+66+82.63+40.79+2,0)</f>
        <v>260</v>
      </c>
      <c r="E75" s="9">
        <v>38.987561111454923</v>
      </c>
      <c r="F75" s="9">
        <f t="shared" si="6"/>
        <v>10136.76588897828</v>
      </c>
      <c r="G75" s="175"/>
      <c r="H75" s="29"/>
    </row>
    <row r="76" spans="1:8" ht="39">
      <c r="A76" s="24">
        <v>8.4</v>
      </c>
      <c r="B76" s="10" t="s">
        <v>268</v>
      </c>
      <c r="C76" s="12" t="s">
        <v>15</v>
      </c>
      <c r="D76" s="27">
        <f>ROUND((100+56.9+6+6+7.3+6.7+6.7+6.7+10.25+23.55+20)*0.5,0)</f>
        <v>125</v>
      </c>
      <c r="E76" s="9">
        <v>58.790766755368537</v>
      </c>
      <c r="F76" s="9">
        <f t="shared" si="6"/>
        <v>7348.8458444210673</v>
      </c>
      <c r="G76" s="175"/>
    </row>
    <row r="77" spans="1:8" ht="26">
      <c r="A77" s="24">
        <v>8.5</v>
      </c>
      <c r="B77" s="10" t="s">
        <v>269</v>
      </c>
      <c r="C77" s="12" t="s">
        <v>15</v>
      </c>
      <c r="D77" s="8">
        <f>ROUND(40+4+(279*2.8),0)</f>
        <v>825</v>
      </c>
      <c r="E77" s="9">
        <v>7.4262021164676035</v>
      </c>
      <c r="F77" s="9">
        <f t="shared" si="6"/>
        <v>6126.6167460857732</v>
      </c>
      <c r="G77" s="175"/>
    </row>
    <row r="78" spans="1:8" ht="78">
      <c r="A78" s="24">
        <v>8.6</v>
      </c>
      <c r="B78" s="10" t="s">
        <v>270</v>
      </c>
      <c r="C78" s="13" t="s">
        <v>15</v>
      </c>
      <c r="D78" s="14">
        <f>ROUND(20.8*0.4,0)</f>
        <v>8</v>
      </c>
      <c r="E78" s="9">
        <v>114.48728262887558</v>
      </c>
      <c r="F78" s="9">
        <f t="shared" si="6"/>
        <v>915.89826103100461</v>
      </c>
      <c r="G78" s="175"/>
    </row>
    <row r="79" spans="1:8" ht="14.5" thickBot="1">
      <c r="A79" s="7"/>
      <c r="B79" s="185"/>
      <c r="C79" s="185"/>
      <c r="D79" s="185"/>
      <c r="E79" s="185"/>
      <c r="F79" s="185"/>
      <c r="G79" s="49"/>
    </row>
    <row r="80" spans="1:8" ht="14.5" thickTop="1">
      <c r="A80" s="21">
        <v>9</v>
      </c>
      <c r="B80" s="161" t="s">
        <v>271</v>
      </c>
      <c r="C80" s="162"/>
      <c r="D80" s="162"/>
      <c r="E80" s="162"/>
      <c r="F80" s="163"/>
      <c r="G80" s="1">
        <f>ROUND(SUM(F82:F94),2)</f>
        <v>74241.600000000006</v>
      </c>
      <c r="H80" s="71"/>
    </row>
    <row r="81" spans="1:8">
      <c r="A81" s="12">
        <v>9.1</v>
      </c>
      <c r="B81" s="186" t="s">
        <v>272</v>
      </c>
      <c r="C81" s="187"/>
      <c r="D81" s="187"/>
      <c r="E81" s="187"/>
      <c r="F81" s="188"/>
      <c r="G81" s="174"/>
      <c r="H81" s="71"/>
    </row>
    <row r="82" spans="1:8" ht="26">
      <c r="A82" s="7" t="s">
        <v>273</v>
      </c>
      <c r="B82" s="10" t="s">
        <v>274</v>
      </c>
      <c r="C82" s="12" t="s">
        <v>22</v>
      </c>
      <c r="D82" s="8">
        <v>125</v>
      </c>
      <c r="E82" s="9">
        <v>55.696515873507032</v>
      </c>
      <c r="F82" s="9">
        <f>E82*D82</f>
        <v>6962.0644841883786</v>
      </c>
      <c r="G82" s="175"/>
      <c r="H82" s="29"/>
    </row>
    <row r="83" spans="1:8" ht="26">
      <c r="A83" s="7" t="s">
        <v>275</v>
      </c>
      <c r="B83" s="10" t="s">
        <v>276</v>
      </c>
      <c r="C83" s="12" t="s">
        <v>22</v>
      </c>
      <c r="D83" s="8">
        <v>125</v>
      </c>
      <c r="E83" s="9">
        <v>56.31536604987933</v>
      </c>
      <c r="F83" s="9">
        <f>E83*D83</f>
        <v>7039.4207562349166</v>
      </c>
      <c r="G83" s="175"/>
      <c r="H83" s="29"/>
    </row>
    <row r="84" spans="1:8">
      <c r="A84" s="7">
        <v>9.1999999999999993</v>
      </c>
      <c r="B84" s="189" t="s">
        <v>277</v>
      </c>
      <c r="C84" s="190"/>
      <c r="D84" s="190"/>
      <c r="E84" s="190"/>
      <c r="F84" s="191"/>
      <c r="G84" s="175"/>
    </row>
    <row r="85" spans="1:8" ht="26">
      <c r="A85" s="24" t="s">
        <v>278</v>
      </c>
      <c r="B85" s="68" t="s">
        <v>279</v>
      </c>
      <c r="C85" s="12" t="s">
        <v>22</v>
      </c>
      <c r="D85" s="8">
        <v>100</v>
      </c>
      <c r="E85" s="9">
        <v>16.090104585679811</v>
      </c>
      <c r="F85" s="9">
        <f t="shared" ref="F85:F88" si="7">E85*D85</f>
        <v>1609.010458567981</v>
      </c>
      <c r="G85" s="175"/>
    </row>
    <row r="86" spans="1:8" ht="26">
      <c r="A86" s="24" t="s">
        <v>280</v>
      </c>
      <c r="B86" s="68" t="s">
        <v>281</v>
      </c>
      <c r="C86" s="12" t="s">
        <v>22</v>
      </c>
      <c r="D86" s="8">
        <v>100</v>
      </c>
      <c r="E86" s="9">
        <v>16.708954762052112</v>
      </c>
      <c r="F86" s="9">
        <f t="shared" si="7"/>
        <v>1670.8954762052113</v>
      </c>
      <c r="G86" s="175"/>
    </row>
    <row r="87" spans="1:8" ht="26">
      <c r="A87" s="24" t="s">
        <v>282</v>
      </c>
      <c r="B87" s="10" t="s">
        <v>142</v>
      </c>
      <c r="C87" s="12" t="s">
        <v>39</v>
      </c>
      <c r="D87" s="8">
        <v>8</v>
      </c>
      <c r="E87" s="9">
        <v>22.278606349402814</v>
      </c>
      <c r="F87" s="9">
        <f t="shared" si="7"/>
        <v>178.22885079522251</v>
      </c>
      <c r="G87" s="175"/>
    </row>
    <row r="88" spans="1:8" ht="26">
      <c r="A88" s="24">
        <v>8.3000000000000007</v>
      </c>
      <c r="B88" s="10" t="s">
        <v>140</v>
      </c>
      <c r="C88" s="12" t="s">
        <v>39</v>
      </c>
      <c r="D88" s="8">
        <v>1</v>
      </c>
      <c r="E88" s="9">
        <v>439.38362522433329</v>
      </c>
      <c r="F88" s="9">
        <f t="shared" si="7"/>
        <v>439.38362522433329</v>
      </c>
      <c r="G88" s="175"/>
    </row>
    <row r="89" spans="1:8" ht="80" customHeight="1">
      <c r="A89" s="24">
        <v>8.5</v>
      </c>
      <c r="B89" s="10" t="s">
        <v>283</v>
      </c>
      <c r="C89" s="12" t="s">
        <v>39</v>
      </c>
      <c r="D89" s="8">
        <v>2</v>
      </c>
      <c r="E89" s="9">
        <v>872.57874868494343</v>
      </c>
      <c r="F89" s="9">
        <f>D89*E89</f>
        <v>1745.1574973698869</v>
      </c>
      <c r="G89" s="175"/>
    </row>
    <row r="90" spans="1:8" ht="29.4" customHeight="1">
      <c r="A90" s="24"/>
      <c r="B90" s="192" t="s">
        <v>284</v>
      </c>
      <c r="C90" s="193"/>
      <c r="D90" s="193"/>
      <c r="E90" s="193"/>
      <c r="F90" s="194"/>
      <c r="G90" s="175"/>
    </row>
    <row r="91" spans="1:8">
      <c r="A91" s="7">
        <v>9.3000000000000007</v>
      </c>
      <c r="B91" s="195" t="s">
        <v>143</v>
      </c>
      <c r="C91" s="195"/>
      <c r="D91" s="195"/>
      <c r="E91" s="195"/>
      <c r="F91" s="195"/>
      <c r="G91" s="175"/>
    </row>
    <row r="92" spans="1:8" ht="52">
      <c r="A92" s="24" t="s">
        <v>285</v>
      </c>
      <c r="B92" s="68" t="s">
        <v>286</v>
      </c>
      <c r="C92" s="12" t="s">
        <v>22</v>
      </c>
      <c r="D92" s="8">
        <v>100</v>
      </c>
      <c r="E92" s="9">
        <v>71.167770282814544</v>
      </c>
      <c r="F92" s="9">
        <f>E92*D92</f>
        <v>7116.7770282814545</v>
      </c>
      <c r="G92" s="175"/>
    </row>
    <row r="93" spans="1:8" ht="26">
      <c r="A93" s="24" t="s">
        <v>287</v>
      </c>
      <c r="B93" s="68" t="s">
        <v>145</v>
      </c>
      <c r="C93" s="12" t="s">
        <v>22</v>
      </c>
      <c r="D93" s="8">
        <v>250</v>
      </c>
      <c r="E93" s="9">
        <v>184.41735255894551</v>
      </c>
      <c r="F93" s="9">
        <f>E93*D93</f>
        <v>46104.338139736377</v>
      </c>
      <c r="G93" s="175"/>
    </row>
    <row r="94" spans="1:8" ht="65">
      <c r="A94" s="24" t="s">
        <v>288</v>
      </c>
      <c r="B94" s="10" t="s">
        <v>147</v>
      </c>
      <c r="C94" s="12" t="s">
        <v>25</v>
      </c>
      <c r="D94" s="8">
        <v>8</v>
      </c>
      <c r="E94" s="9">
        <v>172.04034903149952</v>
      </c>
      <c r="F94" s="9">
        <f>E94*D94</f>
        <v>1376.3227922519961</v>
      </c>
      <c r="G94" s="175"/>
    </row>
    <row r="95" spans="1:8" ht="14.5" thickBot="1">
      <c r="A95" s="7"/>
      <c r="B95" s="196"/>
      <c r="C95" s="197"/>
      <c r="D95" s="197"/>
      <c r="E95" s="197"/>
      <c r="F95" s="198"/>
      <c r="G95" s="175"/>
    </row>
    <row r="96" spans="1:8" ht="14.5" thickTop="1">
      <c r="A96" s="21">
        <v>10</v>
      </c>
      <c r="B96" s="161" t="s">
        <v>289</v>
      </c>
      <c r="C96" s="162"/>
      <c r="D96" s="162"/>
      <c r="E96" s="162"/>
      <c r="F96" s="163"/>
      <c r="G96" s="1">
        <f>ROUND(SUM(F97:F97),2)</f>
        <v>24754.01</v>
      </c>
      <c r="H96" s="71"/>
    </row>
    <row r="97" spans="1:8" ht="65">
      <c r="A97" s="24">
        <v>10.1</v>
      </c>
      <c r="B97" s="19" t="s">
        <v>290</v>
      </c>
      <c r="C97" s="12" t="s">
        <v>291</v>
      </c>
      <c r="D97" s="8">
        <v>1</v>
      </c>
      <c r="E97" s="9">
        <v>24754.007054892012</v>
      </c>
      <c r="F97" s="9">
        <f>E97*D97</f>
        <v>24754.007054892012</v>
      </c>
      <c r="G97" s="183"/>
      <c r="H97" s="71"/>
    </row>
    <row r="98" spans="1:8" ht="14.5" thickBot="1">
      <c r="A98" s="7"/>
      <c r="B98" s="196"/>
      <c r="C98" s="197"/>
      <c r="D98" s="197"/>
      <c r="E98" s="197"/>
      <c r="F98" s="198"/>
      <c r="G98" s="176"/>
      <c r="H98" s="29"/>
    </row>
    <row r="99" spans="1:8" s="16" customFormat="1" ht="14.5" thickTop="1">
      <c r="A99" s="21">
        <v>11</v>
      </c>
      <c r="B99" s="161" t="s">
        <v>114</v>
      </c>
      <c r="C99" s="162"/>
      <c r="D99" s="162"/>
      <c r="E99" s="162"/>
      <c r="F99" s="163"/>
      <c r="G99" s="1">
        <f>ROUND(SUM(F100:F109),2)</f>
        <v>61203.66</v>
      </c>
      <c r="H99" s="71"/>
    </row>
    <row r="100" spans="1:8" s="16" customFormat="1" ht="130">
      <c r="A100" s="12">
        <v>11.1</v>
      </c>
      <c r="B100" s="10" t="s">
        <v>292</v>
      </c>
      <c r="C100" s="12" t="s">
        <v>22</v>
      </c>
      <c r="D100" s="27">
        <f>15+7</f>
        <v>22</v>
      </c>
      <c r="E100" s="9">
        <v>1547.1254409307508</v>
      </c>
      <c r="F100" s="9">
        <f t="shared" ref="F100" si="8">D100*E100</f>
        <v>34036.759700476519</v>
      </c>
      <c r="G100" s="174"/>
      <c r="H100" s="71"/>
    </row>
    <row r="101" spans="1:8" s="16" customFormat="1">
      <c r="A101" s="12">
        <v>11.2</v>
      </c>
      <c r="B101" s="10" t="s">
        <v>293</v>
      </c>
      <c r="C101" s="12" t="s">
        <v>291</v>
      </c>
      <c r="D101" s="27">
        <v>1</v>
      </c>
      <c r="E101" s="9">
        <v>1896.7757905811006</v>
      </c>
      <c r="F101" s="9">
        <f>E101*D101</f>
        <v>1896.7757905811006</v>
      </c>
      <c r="G101" s="175"/>
      <c r="H101" s="29"/>
    </row>
    <row r="102" spans="1:8" s="16" customFormat="1">
      <c r="A102" s="12">
        <v>11.3</v>
      </c>
      <c r="B102" s="10" t="s">
        <v>294</v>
      </c>
      <c r="C102" s="12" t="s">
        <v>39</v>
      </c>
      <c r="D102" s="27">
        <v>1</v>
      </c>
      <c r="E102" s="9">
        <v>894.85735503434626</v>
      </c>
      <c r="F102" s="9">
        <f>E102*D102</f>
        <v>894.85735503434626</v>
      </c>
      <c r="G102" s="175"/>
      <c r="H102" s="29"/>
    </row>
    <row r="103" spans="1:8" ht="26">
      <c r="A103" s="24">
        <v>11.4</v>
      </c>
      <c r="B103" s="10" t="s">
        <v>179</v>
      </c>
      <c r="C103" s="12" t="s">
        <v>22</v>
      </c>
      <c r="D103" s="27">
        <v>300</v>
      </c>
      <c r="E103" s="9">
        <v>11.139303174701407</v>
      </c>
      <c r="F103" s="9">
        <f t="shared" ref="F103:F107" si="9">E103*D103</f>
        <v>3341.7909524104221</v>
      </c>
      <c r="G103" s="175"/>
      <c r="H103" s="29"/>
    </row>
    <row r="104" spans="1:8" ht="26">
      <c r="A104" s="24">
        <v>11.5</v>
      </c>
      <c r="B104" s="10" t="s">
        <v>155</v>
      </c>
      <c r="C104" s="12" t="s">
        <v>15</v>
      </c>
      <c r="D104" s="27">
        <v>50</v>
      </c>
      <c r="E104" s="9">
        <v>71.786620459186835</v>
      </c>
      <c r="F104" s="9">
        <f t="shared" si="9"/>
        <v>3589.3310229593417</v>
      </c>
      <c r="G104" s="175"/>
      <c r="H104" s="29"/>
    </row>
    <row r="105" spans="1:8" ht="26">
      <c r="A105" s="24">
        <v>11.6</v>
      </c>
      <c r="B105" s="10" t="s">
        <v>157</v>
      </c>
      <c r="C105" s="12" t="s">
        <v>25</v>
      </c>
      <c r="D105" s="27">
        <v>2</v>
      </c>
      <c r="E105" s="9">
        <v>2026.7343276192837</v>
      </c>
      <c r="F105" s="9">
        <f t="shared" si="9"/>
        <v>4053.4686552385674</v>
      </c>
      <c r="G105" s="175"/>
      <c r="H105" s="29"/>
    </row>
    <row r="106" spans="1:8" ht="25">
      <c r="A106" s="12">
        <v>11.7</v>
      </c>
      <c r="B106" s="62" t="s">
        <v>159</v>
      </c>
      <c r="C106" s="60" t="s">
        <v>39</v>
      </c>
      <c r="D106" s="61">
        <v>1</v>
      </c>
      <c r="E106" s="9">
        <v>642.36648307444773</v>
      </c>
      <c r="F106" s="9">
        <f t="shared" si="9"/>
        <v>642.36648307444773</v>
      </c>
      <c r="G106" s="175"/>
      <c r="H106" s="29"/>
    </row>
    <row r="107" spans="1:8">
      <c r="A107" s="24">
        <v>11.8</v>
      </c>
      <c r="B107" s="10" t="s">
        <v>162</v>
      </c>
      <c r="C107" s="12" t="s">
        <v>15</v>
      </c>
      <c r="D107" s="27">
        <f>ROUND(1053.14+137.53+67+37.2+21+85+41+8,0)</f>
        <v>1450</v>
      </c>
      <c r="E107" s="9">
        <v>7.4262021164676035</v>
      </c>
      <c r="F107" s="9">
        <f t="shared" si="9"/>
        <v>10767.993068878026</v>
      </c>
      <c r="G107" s="175"/>
    </row>
    <row r="108" spans="1:8">
      <c r="A108" s="24">
        <v>11.9</v>
      </c>
      <c r="B108" s="10" t="s">
        <v>164</v>
      </c>
      <c r="C108" s="12" t="s">
        <v>25</v>
      </c>
      <c r="D108" s="8">
        <v>75</v>
      </c>
      <c r="E108" s="9">
        <v>9.9016028219568071</v>
      </c>
      <c r="F108" s="9">
        <f>E108*D108</f>
        <v>742.62021164676048</v>
      </c>
      <c r="G108" s="175"/>
    </row>
    <row r="109" spans="1:8">
      <c r="A109" s="24">
        <v>11.1</v>
      </c>
      <c r="B109" s="10" t="s">
        <v>166</v>
      </c>
      <c r="C109" s="12" t="s">
        <v>25</v>
      </c>
      <c r="D109" s="8">
        <v>8</v>
      </c>
      <c r="E109" s="9">
        <v>154.71254409307508</v>
      </c>
      <c r="F109" s="9">
        <f>E109*D109</f>
        <v>1237.7003527446007</v>
      </c>
      <c r="G109" s="175"/>
    </row>
    <row r="110" spans="1:8">
      <c r="A110" s="20"/>
      <c r="B110" s="200"/>
      <c r="C110" s="201"/>
      <c r="D110" s="201"/>
      <c r="E110" s="201"/>
      <c r="F110" s="202"/>
      <c r="G110" s="199"/>
    </row>
    <row r="111" spans="1:8" ht="14.4" customHeight="1">
      <c r="A111" s="19"/>
      <c r="B111" s="19"/>
      <c r="C111" s="19"/>
      <c r="D111" s="19"/>
      <c r="E111" s="206" t="s">
        <v>295</v>
      </c>
      <c r="F111" s="206"/>
      <c r="G111" s="31">
        <f>SUM(G6:G110)</f>
        <v>765444.03</v>
      </c>
    </row>
    <row r="112" spans="1:8" ht="14" customHeight="1">
      <c r="A112" s="19"/>
      <c r="B112" s="19"/>
      <c r="C112" s="19"/>
      <c r="D112" s="19"/>
      <c r="E112" s="206" t="s">
        <v>296</v>
      </c>
      <c r="F112" s="206"/>
      <c r="G112" s="31">
        <f>G111*0.2</f>
        <v>153088.80600000001</v>
      </c>
    </row>
    <row r="113" spans="1:7" ht="14" customHeight="1">
      <c r="A113" s="19"/>
      <c r="B113" s="19"/>
      <c r="C113" s="19"/>
      <c r="D113" s="19"/>
      <c r="E113" s="206" t="s">
        <v>297</v>
      </c>
      <c r="F113" s="206"/>
      <c r="G113" s="31">
        <f>(G111+G112)*0.4</f>
        <v>367413.13440000004</v>
      </c>
    </row>
    <row r="114" spans="1:7" ht="14" customHeight="1">
      <c r="A114" s="28"/>
      <c r="B114" s="28"/>
      <c r="C114" s="28"/>
      <c r="D114" s="28"/>
      <c r="E114" s="207" t="s">
        <v>298</v>
      </c>
      <c r="F114" s="208"/>
      <c r="G114" s="32">
        <f>G111+G112+G113</f>
        <v>1285945.9704</v>
      </c>
    </row>
    <row r="115" spans="1:7" ht="14" customHeight="1">
      <c r="A115" s="19"/>
      <c r="B115" s="19"/>
      <c r="C115" s="19"/>
      <c r="D115" s="19"/>
      <c r="E115" s="19"/>
      <c r="F115" s="19" t="s">
        <v>299</v>
      </c>
      <c r="G115" s="31">
        <f>G114*0.13</f>
        <v>167172.97615200002</v>
      </c>
    </row>
    <row r="116" spans="1:7" ht="14" customHeight="1">
      <c r="A116" s="28"/>
      <c r="B116" s="28"/>
      <c r="C116" s="28"/>
      <c r="D116" s="209" t="s">
        <v>199</v>
      </c>
      <c r="E116" s="210"/>
      <c r="F116" s="211"/>
      <c r="G116" s="32">
        <f>G114+G115</f>
        <v>1453118.946552</v>
      </c>
    </row>
    <row r="117" spans="1:7" ht="14" customHeight="1">
      <c r="A117" s="19"/>
      <c r="B117" s="19"/>
      <c r="C117" s="19"/>
      <c r="D117" s="206" t="s">
        <v>300</v>
      </c>
      <c r="E117" s="206"/>
      <c r="F117" s="206"/>
      <c r="G117" s="31">
        <f>G116*0.05</f>
        <v>72655.947327600006</v>
      </c>
    </row>
    <row r="118" spans="1:7" ht="14" customHeight="1">
      <c r="A118" s="203" t="s">
        <v>301</v>
      </c>
      <c r="B118" s="204"/>
      <c r="C118" s="204"/>
      <c r="D118" s="204"/>
      <c r="E118" s="204"/>
      <c r="F118" s="205"/>
      <c r="G118" s="33">
        <f>G116+G117</f>
        <v>1525774.8938796001</v>
      </c>
    </row>
  </sheetData>
  <mergeCells count="55">
    <mergeCell ref="A118:F118"/>
    <mergeCell ref="E111:F111"/>
    <mergeCell ref="E112:F112"/>
    <mergeCell ref="E113:F113"/>
    <mergeCell ref="E114:F114"/>
    <mergeCell ref="D116:F116"/>
    <mergeCell ref="D117:F117"/>
    <mergeCell ref="B96:F96"/>
    <mergeCell ref="G97:G98"/>
    <mergeCell ref="B98:F98"/>
    <mergeCell ref="B99:F99"/>
    <mergeCell ref="G100:G110"/>
    <mergeCell ref="B110:F110"/>
    <mergeCell ref="G73:G78"/>
    <mergeCell ref="B79:F79"/>
    <mergeCell ref="B80:F80"/>
    <mergeCell ref="B81:F81"/>
    <mergeCell ref="G81:G95"/>
    <mergeCell ref="B84:F84"/>
    <mergeCell ref="B90:F90"/>
    <mergeCell ref="B91:F91"/>
    <mergeCell ref="B95:F95"/>
    <mergeCell ref="B72:F72"/>
    <mergeCell ref="B44:F44"/>
    <mergeCell ref="G45:G54"/>
    <mergeCell ref="B55:F55"/>
    <mergeCell ref="G56:G57"/>
    <mergeCell ref="B60:F60"/>
    <mergeCell ref="G61:G62"/>
    <mergeCell ref="B62:F62"/>
    <mergeCell ref="B63:F63"/>
    <mergeCell ref="B64:F64"/>
    <mergeCell ref="G64:G71"/>
    <mergeCell ref="B67:F67"/>
    <mergeCell ref="B71:F71"/>
    <mergeCell ref="B19:F19"/>
    <mergeCell ref="G20:G24"/>
    <mergeCell ref="B24:F24"/>
    <mergeCell ref="B25:F25"/>
    <mergeCell ref="G26:G43"/>
    <mergeCell ref="A27:A37"/>
    <mergeCell ref="C27:C37"/>
    <mergeCell ref="D27:D37"/>
    <mergeCell ref="E27:E37"/>
    <mergeCell ref="F27:F37"/>
    <mergeCell ref="A1:G1"/>
    <mergeCell ref="A2:G2"/>
    <mergeCell ref="A3:G3"/>
    <mergeCell ref="A4:G4"/>
    <mergeCell ref="B6:F6"/>
    <mergeCell ref="B7:F7"/>
    <mergeCell ref="G7:G18"/>
    <mergeCell ref="B11:F11"/>
    <mergeCell ref="B15:F15"/>
    <mergeCell ref="B18:F18"/>
  </mergeCells>
  <pageMargins left="0.7" right="0.7" top="0.75" bottom="0.75" header="0.3" footer="0.3"/>
  <pageSetup paperSize="180" scale="61" fitToHeight="0" orientation="portrait" horizontalDpi="1200" verticalDpi="1200" r:id="rId1"/>
  <headerFooter>
    <oddHeader>&amp;C&amp;"Century Gothic,Normal"&amp;20LISTADO DE CANTIDAD (PRESUPUESTO)</oddHeader>
  </headerFooter>
  <rowBreaks count="4" manualBreakCount="4">
    <brk id="24" max="6" man="1"/>
    <brk id="43" max="6" man="1"/>
    <brk id="71" max="6" man="1"/>
    <brk id="9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18"/>
  <sheetViews>
    <sheetView view="pageBreakPreview" zoomScale="55" zoomScaleNormal="55" zoomScaleSheetLayoutView="55" workbookViewId="0">
      <selection activeCell="B22" sqref="B22"/>
    </sheetView>
  </sheetViews>
  <sheetFormatPr baseColWidth="10" defaultColWidth="11.54296875" defaultRowHeight="14"/>
  <cols>
    <col min="1" max="1" width="9.90625" style="17" customWidth="1"/>
    <col min="2" max="2" width="63.36328125" style="2" customWidth="1"/>
    <col min="3" max="3" width="8.6328125" style="2" customWidth="1"/>
    <col min="4" max="4" width="11.36328125" style="15" customWidth="1"/>
    <col min="5" max="5" width="16.36328125" style="2" bestFit="1" customWidth="1"/>
    <col min="6" max="6" width="12.453125" style="2" customWidth="1"/>
    <col min="7" max="7" width="20.6328125" style="2" customWidth="1"/>
    <col min="8" max="8" width="18.36328125" style="2" customWidth="1"/>
    <col min="9" max="9" width="16.36328125" style="2" bestFit="1" customWidth="1"/>
    <col min="10" max="10" width="12.453125" style="2" bestFit="1" customWidth="1"/>
    <col min="11" max="16384" width="11.54296875" style="2"/>
  </cols>
  <sheetData>
    <row r="1" spans="1:12" s="16" customFormat="1" ht="23.5" thickBot="1">
      <c r="A1" s="152" t="s">
        <v>0</v>
      </c>
      <c r="B1" s="153"/>
      <c r="C1" s="153"/>
      <c r="D1" s="153"/>
      <c r="E1" s="153"/>
      <c r="F1" s="153"/>
      <c r="G1" s="154"/>
    </row>
    <row r="2" spans="1:12" s="16" customFormat="1" ht="14.4" customHeight="1">
      <c r="A2" s="155" t="s">
        <v>1</v>
      </c>
      <c r="B2" s="156"/>
      <c r="C2" s="156"/>
      <c r="D2" s="156"/>
      <c r="E2" s="156"/>
      <c r="F2" s="156"/>
      <c r="G2" s="157"/>
    </row>
    <row r="3" spans="1:12" s="16" customFormat="1" ht="14.4" customHeight="1">
      <c r="A3" s="158" t="s">
        <v>2</v>
      </c>
      <c r="B3" s="159"/>
      <c r="C3" s="159"/>
      <c r="D3" s="159"/>
      <c r="E3" s="159"/>
      <c r="F3" s="159"/>
      <c r="G3" s="160"/>
    </row>
    <row r="4" spans="1:12" s="16" customFormat="1" ht="14.4" customHeight="1" thickBot="1">
      <c r="A4" s="158" t="s">
        <v>3</v>
      </c>
      <c r="B4" s="159"/>
      <c r="C4" s="159"/>
      <c r="D4" s="159"/>
      <c r="E4" s="159"/>
      <c r="F4" s="159"/>
      <c r="G4" s="160"/>
    </row>
    <row r="5" spans="1:12" ht="14.5" thickBot="1">
      <c r="A5" s="3" t="s">
        <v>4</v>
      </c>
      <c r="B5" s="4" t="s">
        <v>5</v>
      </c>
      <c r="C5" s="4" t="s">
        <v>6</v>
      </c>
      <c r="D5" s="5" t="s">
        <v>7</v>
      </c>
      <c r="E5" s="4" t="s">
        <v>8</v>
      </c>
      <c r="F5" s="4" t="s">
        <v>9</v>
      </c>
      <c r="G5" s="6" t="s">
        <v>10</v>
      </c>
      <c r="I5" s="4" t="s">
        <v>8</v>
      </c>
      <c r="J5" s="4" t="s">
        <v>302</v>
      </c>
      <c r="K5" s="4" t="s">
        <v>303</v>
      </c>
      <c r="L5" s="4" t="s">
        <v>304</v>
      </c>
    </row>
    <row r="6" spans="1:12" s="16" customFormat="1" ht="15" thickTop="1" thickBot="1">
      <c r="A6" s="21">
        <v>1</v>
      </c>
      <c r="B6" s="161" t="s">
        <v>11</v>
      </c>
      <c r="C6" s="162"/>
      <c r="D6" s="162"/>
      <c r="E6" s="162"/>
      <c r="F6" s="163"/>
      <c r="G6" s="22">
        <f>ROUND(SUM(F8:F17),2)</f>
        <v>18772.82</v>
      </c>
      <c r="H6" s="71"/>
      <c r="I6" s="30"/>
      <c r="J6" s="30"/>
      <c r="K6" s="30"/>
      <c r="L6" s="30"/>
    </row>
    <row r="7" spans="1:12" s="16" customFormat="1">
      <c r="A7" s="23">
        <v>1.1000000000000001</v>
      </c>
      <c r="B7" s="144" t="s">
        <v>201</v>
      </c>
      <c r="C7" s="144"/>
      <c r="D7" s="144"/>
      <c r="E7" s="144"/>
      <c r="F7" s="144"/>
      <c r="G7" s="145"/>
      <c r="H7" s="71"/>
      <c r="I7" s="30"/>
      <c r="J7" s="30"/>
      <c r="K7" s="30"/>
      <c r="L7" s="30"/>
    </row>
    <row r="8" spans="1:12" ht="27" customHeight="1">
      <c r="A8" s="7" t="s">
        <v>13</v>
      </c>
      <c r="B8" s="10" t="s">
        <v>202</v>
      </c>
      <c r="C8" s="12" t="s">
        <v>15</v>
      </c>
      <c r="D8" s="8">
        <f>ROUND(525.25+30.74+5-16-4-142,0)</f>
        <v>399</v>
      </c>
      <c r="E8" s="9">
        <f>L8</f>
        <v>4.3319512346061018</v>
      </c>
      <c r="F8" s="9">
        <f t="shared" ref="F8:F14" si="0">E8*D8</f>
        <v>1728.4485426078345</v>
      </c>
      <c r="G8" s="146"/>
      <c r="H8" s="29"/>
      <c r="I8" s="9">
        <v>7</v>
      </c>
      <c r="J8" s="9">
        <f>I8-(I8/1.43)</f>
        <v>2.104895104895105</v>
      </c>
      <c r="K8" s="9">
        <f>I8-J8</f>
        <v>4.895104895104895</v>
      </c>
      <c r="L8" s="9">
        <f>K8/1.13</f>
        <v>4.3319512346061018</v>
      </c>
    </row>
    <row r="9" spans="1:12">
      <c r="A9" s="7" t="s">
        <v>16</v>
      </c>
      <c r="B9" s="10" t="s">
        <v>203</v>
      </c>
      <c r="C9" s="12" t="s">
        <v>15</v>
      </c>
      <c r="D9" s="8">
        <f>ROUND((7*2.6)+(4.8*0.6)+(40*0.3)+(2.6*2.6)+(15.7*2.6)+(5*2.6)+(14*2.6)+(5*2.8)+(16*2.8),0)</f>
        <v>189</v>
      </c>
      <c r="E9" s="9">
        <f t="shared" ref="E9:E10" si="1">L9</f>
        <v>38.368710935082625</v>
      </c>
      <c r="F9" s="9">
        <f t="shared" si="0"/>
        <v>7251.6863667306161</v>
      </c>
      <c r="G9" s="146"/>
      <c r="H9" s="29"/>
      <c r="I9" s="9">
        <v>62</v>
      </c>
      <c r="J9" s="9">
        <f t="shared" ref="J9:J17" si="2">I9-(I9/1.43)</f>
        <v>18.64335664335664</v>
      </c>
      <c r="K9" s="9">
        <f t="shared" ref="K9:K17" si="3">I9-J9</f>
        <v>43.35664335664336</v>
      </c>
      <c r="L9" s="9">
        <f t="shared" ref="L9:L17" si="4">K9/1.13</f>
        <v>38.368710935082625</v>
      </c>
    </row>
    <row r="10" spans="1:12">
      <c r="A10" s="7" t="s">
        <v>18</v>
      </c>
      <c r="B10" s="10" t="s">
        <v>21</v>
      </c>
      <c r="C10" s="12" t="s">
        <v>22</v>
      </c>
      <c r="D10" s="8">
        <f>ROUND(40.75+35.75+20.43+14.3+55.6+28.55,0)</f>
        <v>195</v>
      </c>
      <c r="E10" s="9">
        <f t="shared" si="1"/>
        <v>21.659756173030512</v>
      </c>
      <c r="F10" s="9">
        <f t="shared" si="0"/>
        <v>4223.6524537409496</v>
      </c>
      <c r="G10" s="146"/>
      <c r="I10" s="9">
        <v>35</v>
      </c>
      <c r="J10" s="9">
        <f t="shared" si="2"/>
        <v>10.524475524475523</v>
      </c>
      <c r="K10" s="9">
        <f t="shared" si="3"/>
        <v>24.475524475524477</v>
      </c>
      <c r="L10" s="9">
        <f t="shared" si="4"/>
        <v>21.659756173030512</v>
      </c>
    </row>
    <row r="11" spans="1:12">
      <c r="A11" s="7">
        <v>1.2</v>
      </c>
      <c r="B11" s="148" t="s">
        <v>204</v>
      </c>
      <c r="C11" s="148"/>
      <c r="D11" s="148"/>
      <c r="E11" s="148"/>
      <c r="F11" s="148"/>
      <c r="G11" s="146"/>
      <c r="I11" s="9"/>
      <c r="J11" s="9"/>
      <c r="K11" s="9"/>
      <c r="L11" s="9"/>
    </row>
    <row r="12" spans="1:12">
      <c r="A12" s="7" t="s">
        <v>205</v>
      </c>
      <c r="B12" s="10" t="s">
        <v>24</v>
      </c>
      <c r="C12" s="12" t="s">
        <v>25</v>
      </c>
      <c r="D12" s="8">
        <v>1</v>
      </c>
      <c r="E12" s="9">
        <f>L12</f>
        <v>71.167770282814544</v>
      </c>
      <c r="F12" s="9">
        <f t="shared" si="0"/>
        <v>71.167770282814544</v>
      </c>
      <c r="G12" s="146"/>
      <c r="I12" s="9">
        <v>115</v>
      </c>
      <c r="J12" s="9">
        <f t="shared" si="2"/>
        <v>34.580419580419573</v>
      </c>
      <c r="K12" s="9">
        <f t="shared" si="3"/>
        <v>80.419580419580427</v>
      </c>
      <c r="L12" s="9">
        <f t="shared" si="4"/>
        <v>71.167770282814544</v>
      </c>
    </row>
    <row r="13" spans="1:12">
      <c r="A13" s="7" t="s">
        <v>206</v>
      </c>
      <c r="B13" s="10" t="s">
        <v>207</v>
      </c>
      <c r="C13" s="12" t="s">
        <v>15</v>
      </c>
      <c r="D13" s="8">
        <f>ROUND(59.56+15.65+6.2+23.68+1.96,0)</f>
        <v>107</v>
      </c>
      <c r="E13" s="9">
        <f t="shared" ref="E13:E14" si="5">L13</f>
        <v>11.139303174701407</v>
      </c>
      <c r="F13" s="9">
        <f t="shared" si="0"/>
        <v>1191.9054396930505</v>
      </c>
      <c r="G13" s="146"/>
      <c r="I13" s="9">
        <v>18</v>
      </c>
      <c r="J13" s="9">
        <f t="shared" si="2"/>
        <v>5.4125874125874116</v>
      </c>
      <c r="K13" s="9">
        <f t="shared" si="3"/>
        <v>12.587412587412588</v>
      </c>
      <c r="L13" s="9">
        <f t="shared" si="4"/>
        <v>11.139303174701407</v>
      </c>
    </row>
    <row r="14" spans="1:12">
      <c r="A14" s="7" t="s">
        <v>208</v>
      </c>
      <c r="B14" s="10" t="s">
        <v>209</v>
      </c>
      <c r="C14" s="12" t="s">
        <v>22</v>
      </c>
      <c r="D14" s="8">
        <f>ROUND(94.4+16+24+9+12+3+3+12.3+6+40+16.38,0)</f>
        <v>236</v>
      </c>
      <c r="E14" s="9">
        <f t="shared" si="5"/>
        <v>14.233554056562907</v>
      </c>
      <c r="F14" s="9">
        <f t="shared" si="0"/>
        <v>3359.118757348846</v>
      </c>
      <c r="G14" s="146"/>
      <c r="I14" s="9">
        <v>23</v>
      </c>
      <c r="J14" s="9">
        <f t="shared" si="2"/>
        <v>6.9160839160839167</v>
      </c>
      <c r="K14" s="9">
        <f t="shared" si="3"/>
        <v>16.083916083916083</v>
      </c>
      <c r="L14" s="9">
        <f t="shared" si="4"/>
        <v>14.233554056562907</v>
      </c>
    </row>
    <row r="15" spans="1:12">
      <c r="A15" s="7">
        <v>1.3</v>
      </c>
      <c r="B15" s="148" t="s">
        <v>210</v>
      </c>
      <c r="C15" s="148"/>
      <c r="D15" s="148"/>
      <c r="E15" s="148"/>
      <c r="F15" s="148"/>
      <c r="G15" s="146"/>
      <c r="I15" s="9"/>
      <c r="J15" s="9"/>
      <c r="K15" s="9"/>
      <c r="L15" s="9"/>
    </row>
    <row r="16" spans="1:12">
      <c r="A16" s="24" t="s">
        <v>44</v>
      </c>
      <c r="B16" s="10" t="s">
        <v>211</v>
      </c>
      <c r="C16" s="12" t="s">
        <v>39</v>
      </c>
      <c r="D16" s="8">
        <v>4</v>
      </c>
      <c r="E16" s="9">
        <f>L16</f>
        <v>105.20452998329105</v>
      </c>
      <c r="F16" s="9">
        <f t="shared" ref="F16:F17" si="6">D16*E16</f>
        <v>420.81811993316421</v>
      </c>
      <c r="G16" s="146"/>
      <c r="I16" s="9">
        <v>170</v>
      </c>
      <c r="J16" s="9">
        <f t="shared" si="2"/>
        <v>51.11888111888112</v>
      </c>
      <c r="K16" s="9">
        <f t="shared" si="3"/>
        <v>118.88111888111888</v>
      </c>
      <c r="L16" s="9">
        <f t="shared" si="4"/>
        <v>105.20452998329105</v>
      </c>
    </row>
    <row r="17" spans="1:12">
      <c r="A17" s="24" t="s">
        <v>212</v>
      </c>
      <c r="B17" s="10" t="s">
        <v>213</v>
      </c>
      <c r="C17" s="12" t="s">
        <v>39</v>
      </c>
      <c r="D17" s="8">
        <v>5</v>
      </c>
      <c r="E17" s="9">
        <f>L17</f>
        <v>105.20452998329105</v>
      </c>
      <c r="F17" s="9">
        <f t="shared" si="6"/>
        <v>526.02264991645529</v>
      </c>
      <c r="G17" s="146"/>
      <c r="I17" s="9">
        <v>170</v>
      </c>
      <c r="J17" s="9">
        <f t="shared" si="2"/>
        <v>51.11888111888112</v>
      </c>
      <c r="K17" s="9">
        <f t="shared" si="3"/>
        <v>118.88111888111888</v>
      </c>
      <c r="L17" s="9">
        <f t="shared" si="4"/>
        <v>105.20452998329105</v>
      </c>
    </row>
    <row r="18" spans="1:12" ht="14.5" thickBot="1">
      <c r="A18" s="24"/>
      <c r="B18" s="149"/>
      <c r="C18" s="150"/>
      <c r="D18" s="150"/>
      <c r="E18" s="150"/>
      <c r="F18" s="151"/>
      <c r="G18" s="147"/>
      <c r="I18" s="9"/>
      <c r="J18" s="9"/>
      <c r="K18" s="9"/>
      <c r="L18" s="9"/>
    </row>
    <row r="19" spans="1:12" s="16" customFormat="1" ht="14.5" thickTop="1">
      <c r="A19" s="21">
        <v>2</v>
      </c>
      <c r="B19" s="161" t="s">
        <v>46</v>
      </c>
      <c r="C19" s="162"/>
      <c r="D19" s="162"/>
      <c r="E19" s="162"/>
      <c r="F19" s="163"/>
      <c r="G19" s="22">
        <f>ROUND(SUM(F20:F23),2)</f>
        <v>221354.76</v>
      </c>
      <c r="H19" s="71"/>
      <c r="I19" s="9"/>
      <c r="J19" s="9"/>
      <c r="K19" s="9"/>
      <c r="L19" s="9"/>
    </row>
    <row r="20" spans="1:12" ht="182">
      <c r="A20" s="24">
        <v>2.1</v>
      </c>
      <c r="B20" s="25" t="s">
        <v>214</v>
      </c>
      <c r="C20" s="12" t="s">
        <v>15</v>
      </c>
      <c r="D20" s="8">
        <f>ROUND(167.55+204.11+51.47+51.47,0)</f>
        <v>475</v>
      </c>
      <c r="E20" s="9">
        <f>L20</f>
        <v>352.74460053221122</v>
      </c>
      <c r="F20" s="9">
        <f>E20*D20</f>
        <v>167553.68525280032</v>
      </c>
      <c r="G20" s="172"/>
      <c r="H20" s="71"/>
      <c r="I20" s="9">
        <v>570</v>
      </c>
      <c r="J20" s="9">
        <f t="shared" ref="J20:J23" si="7">I20-(I20/1.43)</f>
        <v>171.39860139860139</v>
      </c>
      <c r="K20" s="9">
        <f t="shared" ref="K20" si="8">I20-J20</f>
        <v>398.60139860139861</v>
      </c>
      <c r="L20" s="9">
        <f t="shared" ref="L20:L23" si="9">K20/1.13</f>
        <v>352.74460053221122</v>
      </c>
    </row>
    <row r="21" spans="1:12" ht="156">
      <c r="A21" s="24">
        <v>2.2000000000000002</v>
      </c>
      <c r="B21" s="10" t="s">
        <v>215</v>
      </c>
      <c r="C21" s="12" t="s">
        <v>15</v>
      </c>
      <c r="D21" s="8">
        <v>70</v>
      </c>
      <c r="E21" s="9">
        <f t="shared" ref="E21:E23" si="10">L21</f>
        <v>352.74460053221122</v>
      </c>
      <c r="F21" s="9">
        <f>E21*D21</f>
        <v>24692.122037254787</v>
      </c>
      <c r="G21" s="173"/>
      <c r="H21" s="29"/>
      <c r="I21" s="9">
        <v>570</v>
      </c>
      <c r="J21" s="9">
        <f t="shared" si="7"/>
        <v>171.39860139860139</v>
      </c>
      <c r="K21" s="9">
        <f t="shared" ref="K21:K23" si="11">I21-J21</f>
        <v>398.60139860139861</v>
      </c>
      <c r="L21" s="9">
        <f t="shared" si="9"/>
        <v>352.74460053221122</v>
      </c>
    </row>
    <row r="22" spans="1:12" ht="39">
      <c r="A22" s="24" t="s">
        <v>54</v>
      </c>
      <c r="B22" s="10" t="s">
        <v>51</v>
      </c>
      <c r="C22" s="12" t="s">
        <v>52</v>
      </c>
      <c r="D22" s="8">
        <f>ROUND((7+4.55+5.4+4.25+1.9)*2.6,0)</f>
        <v>60</v>
      </c>
      <c r="E22" s="9">
        <f t="shared" si="10"/>
        <v>68.692369577325337</v>
      </c>
      <c r="F22" s="9">
        <f>E22*D22</f>
        <v>4121.5421746395205</v>
      </c>
      <c r="G22" s="173"/>
      <c r="H22" s="29"/>
      <c r="I22" s="9">
        <v>111</v>
      </c>
      <c r="J22" s="9">
        <f t="shared" si="7"/>
        <v>33.377622377622373</v>
      </c>
      <c r="K22" s="9">
        <f t="shared" si="11"/>
        <v>77.622377622377627</v>
      </c>
      <c r="L22" s="9">
        <f t="shared" si="9"/>
        <v>68.692369577325337</v>
      </c>
    </row>
    <row r="23" spans="1:12" ht="210">
      <c r="A23" s="24">
        <v>2.2999999999999998</v>
      </c>
      <c r="B23" s="53" t="s">
        <v>216</v>
      </c>
      <c r="C23" s="12" t="s">
        <v>15</v>
      </c>
      <c r="D23" s="8">
        <f>ROUND(32.52,0)</f>
        <v>33</v>
      </c>
      <c r="E23" s="9">
        <f t="shared" si="10"/>
        <v>757.19413330032808</v>
      </c>
      <c r="F23" s="9">
        <f>E23*D23</f>
        <v>24987.406398910825</v>
      </c>
      <c r="G23" s="173"/>
      <c r="H23" s="29"/>
      <c r="I23" s="9">
        <v>1223.55</v>
      </c>
      <c r="J23" s="9">
        <f t="shared" si="7"/>
        <v>367.92062937062929</v>
      </c>
      <c r="K23" s="9">
        <f t="shared" si="11"/>
        <v>855.62937062937067</v>
      </c>
      <c r="L23" s="9">
        <f t="shared" si="9"/>
        <v>757.19413330032808</v>
      </c>
    </row>
    <row r="24" spans="1:12" ht="14.4" customHeight="1" thickBot="1">
      <c r="A24" s="54"/>
      <c r="B24" s="149"/>
      <c r="C24" s="150"/>
      <c r="D24" s="150"/>
      <c r="E24" s="150"/>
      <c r="F24" s="151"/>
      <c r="G24" s="173"/>
      <c r="H24" s="29"/>
      <c r="I24" s="9"/>
      <c r="J24" s="9"/>
      <c r="K24" s="9"/>
      <c r="L24" s="9"/>
    </row>
    <row r="25" spans="1:12" ht="14.4" customHeight="1" thickTop="1">
      <c r="A25" s="21">
        <v>3</v>
      </c>
      <c r="B25" s="161" t="s">
        <v>87</v>
      </c>
      <c r="C25" s="162"/>
      <c r="D25" s="162"/>
      <c r="E25" s="162"/>
      <c r="F25" s="163"/>
      <c r="G25" s="1">
        <f>ROUND(SUM(F27:F42),2)</f>
        <v>290463.52</v>
      </c>
      <c r="H25" s="71"/>
      <c r="J25" s="9"/>
      <c r="K25" s="9"/>
      <c r="L25" s="9"/>
    </row>
    <row r="26" spans="1:12" ht="14.4" customHeight="1">
      <c r="A26" s="24">
        <v>3.1</v>
      </c>
      <c r="B26" s="55" t="s">
        <v>217</v>
      </c>
      <c r="C26" s="55"/>
      <c r="D26" s="55"/>
      <c r="E26" s="55"/>
      <c r="F26" s="55"/>
      <c r="G26" s="172"/>
      <c r="H26" s="71"/>
      <c r="I26" s="55"/>
      <c r="J26" s="9"/>
      <c r="K26" s="9"/>
      <c r="L26" s="9"/>
    </row>
    <row r="27" spans="1:12" s="52" customFormat="1" ht="52">
      <c r="A27" s="164" t="s">
        <v>89</v>
      </c>
      <c r="B27" s="55" t="s">
        <v>218</v>
      </c>
      <c r="C27" s="166" t="s">
        <v>219</v>
      </c>
      <c r="D27" s="168">
        <v>1</v>
      </c>
      <c r="E27" s="170">
        <f>L27</f>
        <v>31106.504115353677</v>
      </c>
      <c r="F27" s="170">
        <f>E27</f>
        <v>31106.504115353677</v>
      </c>
      <c r="G27" s="173"/>
      <c r="H27" s="29"/>
      <c r="I27" s="170">
        <v>50265</v>
      </c>
      <c r="J27" s="212">
        <f t="shared" ref="J27" si="12">I27-(I27/1.43)</f>
        <v>15114.65034965035</v>
      </c>
      <c r="K27" s="212">
        <f t="shared" ref="K27" si="13">I27-J27</f>
        <v>35150.34965034965</v>
      </c>
      <c r="L27" s="212">
        <f t="shared" ref="L27" si="14">K27/1.13</f>
        <v>31106.504115353677</v>
      </c>
    </row>
    <row r="28" spans="1:12" s="52" customFormat="1" ht="26">
      <c r="A28" s="165"/>
      <c r="B28" s="55" t="s">
        <v>220</v>
      </c>
      <c r="C28" s="167"/>
      <c r="D28" s="169"/>
      <c r="E28" s="171"/>
      <c r="F28" s="171"/>
      <c r="G28" s="173"/>
      <c r="H28" s="29"/>
      <c r="I28" s="171"/>
      <c r="J28" s="213"/>
      <c r="K28" s="213"/>
      <c r="L28" s="213"/>
    </row>
    <row r="29" spans="1:12" s="52" customFormat="1" ht="39">
      <c r="A29" s="165"/>
      <c r="B29" s="55" t="s">
        <v>221</v>
      </c>
      <c r="C29" s="167"/>
      <c r="D29" s="169"/>
      <c r="E29" s="171"/>
      <c r="F29" s="171"/>
      <c r="G29" s="173"/>
      <c r="H29" s="51"/>
      <c r="I29" s="171"/>
      <c r="J29" s="213"/>
      <c r="K29" s="213"/>
      <c r="L29" s="213"/>
    </row>
    <row r="30" spans="1:12" s="52" customFormat="1">
      <c r="A30" s="165"/>
      <c r="B30" s="55" t="s">
        <v>222</v>
      </c>
      <c r="C30" s="167"/>
      <c r="D30" s="169"/>
      <c r="E30" s="171"/>
      <c r="F30" s="171"/>
      <c r="G30" s="173"/>
      <c r="H30" s="51"/>
      <c r="I30" s="171"/>
      <c r="J30" s="213"/>
      <c r="K30" s="213"/>
      <c r="L30" s="213"/>
    </row>
    <row r="31" spans="1:12" s="52" customFormat="1" ht="26">
      <c r="A31" s="165"/>
      <c r="B31" s="55" t="s">
        <v>223</v>
      </c>
      <c r="C31" s="167"/>
      <c r="D31" s="169"/>
      <c r="E31" s="171"/>
      <c r="F31" s="171"/>
      <c r="G31" s="173"/>
      <c r="H31" s="51"/>
      <c r="I31" s="171"/>
      <c r="J31" s="213"/>
      <c r="K31" s="213"/>
      <c r="L31" s="213"/>
    </row>
    <row r="32" spans="1:12" s="52" customFormat="1">
      <c r="A32" s="165"/>
      <c r="B32" s="55" t="s">
        <v>224</v>
      </c>
      <c r="C32" s="167"/>
      <c r="D32" s="169"/>
      <c r="E32" s="171"/>
      <c r="F32" s="171"/>
      <c r="G32" s="173"/>
      <c r="H32" s="51"/>
      <c r="I32" s="171"/>
      <c r="J32" s="213"/>
      <c r="K32" s="213"/>
      <c r="L32" s="213"/>
    </row>
    <row r="33" spans="1:12" s="52" customFormat="1">
      <c r="A33" s="165"/>
      <c r="B33" s="55" t="s">
        <v>225</v>
      </c>
      <c r="C33" s="167"/>
      <c r="D33" s="169"/>
      <c r="E33" s="171"/>
      <c r="F33" s="171"/>
      <c r="G33" s="173"/>
      <c r="H33" s="51"/>
      <c r="I33" s="171"/>
      <c r="J33" s="213"/>
      <c r="K33" s="213"/>
      <c r="L33" s="213"/>
    </row>
    <row r="34" spans="1:12" s="52" customFormat="1" ht="26">
      <c r="A34" s="165"/>
      <c r="B34" s="55" t="s">
        <v>226</v>
      </c>
      <c r="C34" s="167"/>
      <c r="D34" s="169"/>
      <c r="E34" s="171"/>
      <c r="F34" s="171"/>
      <c r="G34" s="173"/>
      <c r="H34" s="51"/>
      <c r="I34" s="171"/>
      <c r="J34" s="213"/>
      <c r="K34" s="213"/>
      <c r="L34" s="213"/>
    </row>
    <row r="35" spans="1:12" s="52" customFormat="1">
      <c r="A35" s="165"/>
      <c r="B35" s="55" t="s">
        <v>227</v>
      </c>
      <c r="C35" s="167"/>
      <c r="D35" s="169"/>
      <c r="E35" s="171"/>
      <c r="F35" s="171"/>
      <c r="G35" s="173"/>
      <c r="H35" s="51"/>
      <c r="I35" s="171"/>
      <c r="J35" s="213"/>
      <c r="K35" s="213"/>
      <c r="L35" s="213"/>
    </row>
    <row r="36" spans="1:12" s="52" customFormat="1" ht="104">
      <c r="A36" s="165"/>
      <c r="B36" s="55" t="s">
        <v>228</v>
      </c>
      <c r="C36" s="167"/>
      <c r="D36" s="169"/>
      <c r="E36" s="171"/>
      <c r="F36" s="171"/>
      <c r="G36" s="173"/>
      <c r="H36" s="51"/>
      <c r="I36" s="171"/>
      <c r="J36" s="213"/>
      <c r="K36" s="213"/>
      <c r="L36" s="213"/>
    </row>
    <row r="37" spans="1:12" s="52" customFormat="1" ht="65">
      <c r="A37" s="165"/>
      <c r="B37" s="55" t="s">
        <v>229</v>
      </c>
      <c r="C37" s="167"/>
      <c r="D37" s="169"/>
      <c r="E37" s="171"/>
      <c r="F37" s="171"/>
      <c r="G37" s="173"/>
      <c r="H37" s="51"/>
      <c r="I37" s="171"/>
      <c r="J37" s="214"/>
      <c r="K37" s="214"/>
      <c r="L37" s="214"/>
    </row>
    <row r="38" spans="1:12" s="52" customFormat="1" ht="208">
      <c r="A38" s="24" t="s">
        <v>230</v>
      </c>
      <c r="B38" s="55" t="s">
        <v>231</v>
      </c>
      <c r="C38" s="12" t="s">
        <v>15</v>
      </c>
      <c r="D38" s="8">
        <f>ROUND(12.77+10.27+6.07+6.07,0)</f>
        <v>35</v>
      </c>
      <c r="E38" s="56">
        <f>L38</f>
        <v>1064.4223033603566</v>
      </c>
      <c r="F38" s="9">
        <f>E38*D38</f>
        <v>37254.78061761248</v>
      </c>
      <c r="G38" s="173"/>
      <c r="H38" s="51"/>
      <c r="I38" s="56">
        <v>1720</v>
      </c>
      <c r="J38" s="9">
        <f t="shared" ref="J38:J42" si="15">I38-(I38/1.43)</f>
        <v>517.20279720279723</v>
      </c>
      <c r="K38" s="9">
        <f t="shared" ref="K38" si="16">I38-J38</f>
        <v>1202.7972027972028</v>
      </c>
      <c r="L38" s="9">
        <f t="shared" ref="L38:L42" si="17">K38/1.13</f>
        <v>1064.4223033603566</v>
      </c>
    </row>
    <row r="39" spans="1:12" s="52" customFormat="1" ht="39">
      <c r="A39" s="24" t="s">
        <v>232</v>
      </c>
      <c r="B39" s="10" t="s">
        <v>233</v>
      </c>
      <c r="C39" s="12" t="s">
        <v>219</v>
      </c>
      <c r="D39" s="8">
        <v>1</v>
      </c>
      <c r="E39" s="56">
        <f t="shared" ref="E39:E42" si="18">L39</f>
        <v>54582.585556036887</v>
      </c>
      <c r="F39" s="9">
        <f t="shared" ref="F39" si="19">E39*D39</f>
        <v>54582.585556036887</v>
      </c>
      <c r="G39" s="173"/>
      <c r="H39" s="51"/>
      <c r="I39" s="9">
        <v>88200</v>
      </c>
      <c r="J39" s="9">
        <f t="shared" si="15"/>
        <v>26521.678321678322</v>
      </c>
      <c r="K39" s="9">
        <f t="shared" ref="K39:K42" si="20">I39-J39</f>
        <v>61678.321678321678</v>
      </c>
      <c r="L39" s="9">
        <f t="shared" si="17"/>
        <v>54582.585556036887</v>
      </c>
    </row>
    <row r="40" spans="1:12" s="52" customFormat="1" ht="104">
      <c r="A40" s="24" t="s">
        <v>234</v>
      </c>
      <c r="B40" s="25" t="s">
        <v>235</v>
      </c>
      <c r="C40" s="12" t="s">
        <v>15</v>
      </c>
      <c r="D40" s="8">
        <v>160</v>
      </c>
      <c r="E40" s="56">
        <f t="shared" si="18"/>
        <v>529.73575097468904</v>
      </c>
      <c r="F40" s="9">
        <f>E40*D40</f>
        <v>84757.720155950243</v>
      </c>
      <c r="G40" s="173"/>
      <c r="H40" s="51"/>
      <c r="I40" s="9">
        <v>856</v>
      </c>
      <c r="J40" s="9">
        <f t="shared" si="15"/>
        <v>257.39860139860139</v>
      </c>
      <c r="K40" s="9">
        <f t="shared" si="20"/>
        <v>598.60139860139861</v>
      </c>
      <c r="L40" s="9">
        <f t="shared" si="17"/>
        <v>529.73575097468904</v>
      </c>
    </row>
    <row r="41" spans="1:12" s="52" customFormat="1" ht="26">
      <c r="A41" s="24" t="s">
        <v>236</v>
      </c>
      <c r="B41" s="25" t="s">
        <v>135</v>
      </c>
      <c r="C41" s="12" t="s">
        <v>15</v>
      </c>
      <c r="D41" s="8">
        <v>180</v>
      </c>
      <c r="E41" s="56">
        <f t="shared" si="18"/>
        <v>25.991707407636618</v>
      </c>
      <c r="F41" s="9">
        <f>E41*D41</f>
        <v>4678.5073333745913</v>
      </c>
      <c r="G41" s="173"/>
      <c r="H41" s="51"/>
      <c r="I41" s="9">
        <v>42</v>
      </c>
      <c r="J41" s="9">
        <f t="shared" si="15"/>
        <v>12.629370629370626</v>
      </c>
      <c r="K41" s="9">
        <f t="shared" si="20"/>
        <v>29.370629370629374</v>
      </c>
      <c r="L41" s="9">
        <f t="shared" si="17"/>
        <v>25.991707407636618</v>
      </c>
    </row>
    <row r="42" spans="1:12" s="52" customFormat="1" ht="63" customHeight="1">
      <c r="A42" s="24" t="s">
        <v>237</v>
      </c>
      <c r="B42" s="10" t="s">
        <v>238</v>
      </c>
      <c r="C42" s="12" t="s">
        <v>15</v>
      </c>
      <c r="D42" s="8">
        <f>ROUND(115.45+16+10.1+1.1+31.87+25.78+4.13+40.28,0)</f>
        <v>245</v>
      </c>
      <c r="E42" s="56">
        <f t="shared" si="18"/>
        <v>318.7078408317347</v>
      </c>
      <c r="F42" s="9">
        <f>D42*E42</f>
        <v>78083.421003775002</v>
      </c>
      <c r="G42" s="173"/>
      <c r="H42" s="51"/>
      <c r="I42" s="9">
        <v>515</v>
      </c>
      <c r="J42" s="9">
        <f t="shared" si="15"/>
        <v>154.86013986013984</v>
      </c>
      <c r="K42" s="9">
        <f t="shared" si="20"/>
        <v>360.13986013986016</v>
      </c>
      <c r="L42" s="9">
        <f t="shared" si="17"/>
        <v>318.7078408317347</v>
      </c>
    </row>
    <row r="43" spans="1:12" ht="14.4" customHeight="1" thickBot="1">
      <c r="A43" s="54"/>
      <c r="B43" s="57"/>
      <c r="C43" s="58"/>
      <c r="D43" s="58"/>
      <c r="E43" s="58"/>
      <c r="F43" s="59"/>
      <c r="G43" s="173"/>
      <c r="H43" s="29"/>
      <c r="I43" s="58"/>
      <c r="J43" s="9"/>
      <c r="K43" s="9"/>
      <c r="L43" s="9"/>
    </row>
    <row r="44" spans="1:12" ht="14.4" customHeight="1" thickTop="1">
      <c r="A44" s="21">
        <v>4</v>
      </c>
      <c r="B44" s="161" t="s">
        <v>239</v>
      </c>
      <c r="C44" s="162"/>
      <c r="D44" s="162"/>
      <c r="E44" s="162"/>
      <c r="F44" s="163"/>
      <c r="G44" s="1">
        <f>ROUND(SUM(F45:F53),2)</f>
        <v>19655.3</v>
      </c>
      <c r="H44" s="71"/>
      <c r="I44" s="9"/>
      <c r="J44" s="9"/>
      <c r="K44" s="9"/>
      <c r="L44" s="9"/>
    </row>
    <row r="45" spans="1:12" ht="14.4" customHeight="1">
      <c r="A45" s="24">
        <v>4.0999999999999996</v>
      </c>
      <c r="B45" s="10" t="s">
        <v>120</v>
      </c>
      <c r="C45" s="12" t="s">
        <v>15</v>
      </c>
      <c r="D45" s="8">
        <f>ROUND(46.08+398+6,0)</f>
        <v>450</v>
      </c>
      <c r="E45" s="9">
        <f>L45</f>
        <v>2.4754007054892018</v>
      </c>
      <c r="F45" s="9">
        <f>E45*D45</f>
        <v>1113.9303174701408</v>
      </c>
      <c r="G45" s="174"/>
      <c r="H45" s="71"/>
      <c r="I45" s="9">
        <v>4</v>
      </c>
      <c r="J45" s="9">
        <f t="shared" ref="J45:J53" si="21">I45-(I45/1.43)</f>
        <v>1.2027972027972025</v>
      </c>
      <c r="K45" s="9">
        <f t="shared" ref="K45" si="22">I45-J45</f>
        <v>2.7972027972027975</v>
      </c>
      <c r="L45" s="9">
        <f t="shared" ref="L45:L53" si="23">K45/1.13</f>
        <v>2.4754007054892018</v>
      </c>
    </row>
    <row r="46" spans="1:12" ht="14.4" customHeight="1">
      <c r="A46" s="24">
        <v>4.2</v>
      </c>
      <c r="B46" s="10" t="s">
        <v>240</v>
      </c>
      <c r="C46" s="12" t="s">
        <v>15</v>
      </c>
      <c r="D46" s="8">
        <f>ROUND(46.08+4,0)</f>
        <v>50</v>
      </c>
      <c r="E46" s="9">
        <f t="shared" ref="E46:E53" si="24">L46</f>
        <v>4.3319512346061018</v>
      </c>
      <c r="F46" s="9">
        <f>E46*D46</f>
        <v>216.59756173030507</v>
      </c>
      <c r="G46" s="175"/>
      <c r="H46" s="29"/>
      <c r="I46" s="9">
        <v>7</v>
      </c>
      <c r="J46" s="9">
        <f t="shared" si="21"/>
        <v>2.104895104895105</v>
      </c>
      <c r="K46" s="9">
        <f t="shared" ref="K46:K53" si="25">I46-J46</f>
        <v>4.895104895104895</v>
      </c>
      <c r="L46" s="9">
        <f t="shared" si="23"/>
        <v>4.3319512346061018</v>
      </c>
    </row>
    <row r="47" spans="1:12">
      <c r="A47" s="24">
        <v>4.3</v>
      </c>
      <c r="B47" s="10" t="s">
        <v>122</v>
      </c>
      <c r="C47" s="12" t="s">
        <v>15</v>
      </c>
      <c r="D47" s="8">
        <f>ROUND(46.08+4,0)</f>
        <v>50</v>
      </c>
      <c r="E47" s="9">
        <f t="shared" si="24"/>
        <v>42.081811993316421</v>
      </c>
      <c r="F47" s="9">
        <f t="shared" ref="F47:F48" si="26">E47*D47</f>
        <v>2104.0905996658212</v>
      </c>
      <c r="G47" s="175"/>
      <c r="H47" s="29"/>
      <c r="I47" s="11">
        <v>68</v>
      </c>
      <c r="J47" s="9">
        <f t="shared" si="21"/>
        <v>20.447552447552447</v>
      </c>
      <c r="K47" s="9">
        <f t="shared" si="25"/>
        <v>47.552447552447553</v>
      </c>
      <c r="L47" s="9">
        <f t="shared" si="23"/>
        <v>42.081811993316421</v>
      </c>
    </row>
    <row r="48" spans="1:12">
      <c r="A48" s="24">
        <v>4.4000000000000004</v>
      </c>
      <c r="B48" s="10" t="s">
        <v>124</v>
      </c>
      <c r="C48" s="12" t="s">
        <v>15</v>
      </c>
      <c r="D48" s="8">
        <v>2</v>
      </c>
      <c r="E48" s="9">
        <f t="shared" si="24"/>
        <v>75.499721517420639</v>
      </c>
      <c r="F48" s="9">
        <f t="shared" si="26"/>
        <v>150.99944303484128</v>
      </c>
      <c r="G48" s="175"/>
      <c r="I48" s="11">
        <v>122</v>
      </c>
      <c r="J48" s="9">
        <f t="shared" si="21"/>
        <v>36.68531468531468</v>
      </c>
      <c r="K48" s="9">
        <f t="shared" si="25"/>
        <v>85.31468531468532</v>
      </c>
      <c r="L48" s="9">
        <f t="shared" si="23"/>
        <v>75.499721517420639</v>
      </c>
    </row>
    <row r="49" spans="1:12" ht="39">
      <c r="A49" s="24">
        <v>4.5</v>
      </c>
      <c r="B49" s="10" t="s">
        <v>241</v>
      </c>
      <c r="C49" s="12" t="s">
        <v>15</v>
      </c>
      <c r="D49" s="8">
        <f>ROUND(3.16+3.16+8.62+8.91,0)</f>
        <v>24</v>
      </c>
      <c r="E49" s="9">
        <f t="shared" si="24"/>
        <v>50.745714462528632</v>
      </c>
      <c r="F49" s="9">
        <f>E49*D49</f>
        <v>1217.8971471006871</v>
      </c>
      <c r="G49" s="175"/>
      <c r="I49" s="9">
        <v>82</v>
      </c>
      <c r="J49" s="9">
        <f t="shared" si="21"/>
        <v>24.657342657342653</v>
      </c>
      <c r="K49" s="9">
        <f t="shared" si="25"/>
        <v>57.342657342657347</v>
      </c>
      <c r="L49" s="9">
        <f t="shared" si="23"/>
        <v>50.745714462528632</v>
      </c>
    </row>
    <row r="50" spans="1:12" ht="26">
      <c r="A50" s="24">
        <v>4.5999999999999996</v>
      </c>
      <c r="B50" s="10" t="s">
        <v>242</v>
      </c>
      <c r="C50" s="12" t="s">
        <v>15</v>
      </c>
      <c r="D50" s="8">
        <v>25</v>
      </c>
      <c r="E50" s="9">
        <f t="shared" si="24"/>
        <v>73.643170988303751</v>
      </c>
      <c r="F50" s="9">
        <f>D50*E50</f>
        <v>1841.0792747075939</v>
      </c>
      <c r="G50" s="175"/>
      <c r="I50" s="9">
        <v>119</v>
      </c>
      <c r="J50" s="9">
        <f t="shared" si="21"/>
        <v>35.783216783216773</v>
      </c>
      <c r="K50" s="9">
        <f t="shared" si="25"/>
        <v>83.216783216783227</v>
      </c>
      <c r="L50" s="9">
        <f t="shared" si="23"/>
        <v>73.643170988303751</v>
      </c>
    </row>
    <row r="51" spans="1:12" ht="26">
      <c r="A51" s="24">
        <v>4.7</v>
      </c>
      <c r="B51" s="10" t="s">
        <v>243</v>
      </c>
      <c r="C51" s="12" t="s">
        <v>15</v>
      </c>
      <c r="D51" s="8">
        <f>ROUND(25.85+28.44+7.88,0)</f>
        <v>62</v>
      </c>
      <c r="E51" s="9">
        <f t="shared" si="24"/>
        <v>84.163623986632842</v>
      </c>
      <c r="F51" s="9">
        <f t="shared" ref="F51" si="27">D51*E51</f>
        <v>5218.144687171236</v>
      </c>
      <c r="G51" s="175"/>
      <c r="I51" s="9">
        <v>136</v>
      </c>
      <c r="J51" s="9">
        <f t="shared" si="21"/>
        <v>40.895104895104893</v>
      </c>
      <c r="K51" s="9">
        <f t="shared" si="25"/>
        <v>95.104895104895107</v>
      </c>
      <c r="L51" s="9">
        <f t="shared" si="23"/>
        <v>84.163623986632842</v>
      </c>
    </row>
    <row r="52" spans="1:12" ht="26">
      <c r="A52" s="24">
        <v>4.8</v>
      </c>
      <c r="B52" s="10" t="s">
        <v>244</v>
      </c>
      <c r="C52" s="12" t="s">
        <v>15</v>
      </c>
      <c r="D52" s="8">
        <f>ROUND((12.6*2.6)+(2.5*2.6)+1,0)</f>
        <v>40</v>
      </c>
      <c r="E52" s="9">
        <f t="shared" si="24"/>
        <v>173.2780493842441</v>
      </c>
      <c r="F52" s="9">
        <f>E52*D52</f>
        <v>6931.1219753697642</v>
      </c>
      <c r="G52" s="175"/>
      <c r="I52" s="9">
        <v>280</v>
      </c>
      <c r="J52" s="9">
        <f t="shared" si="21"/>
        <v>84.195804195804186</v>
      </c>
      <c r="K52" s="9">
        <f t="shared" si="25"/>
        <v>195.80419580419581</v>
      </c>
      <c r="L52" s="9">
        <f t="shared" si="23"/>
        <v>173.2780493842441</v>
      </c>
    </row>
    <row r="53" spans="1:12" ht="52">
      <c r="A53" s="24">
        <v>4.9000000000000004</v>
      </c>
      <c r="B53" s="10" t="s">
        <v>245</v>
      </c>
      <c r="C53" s="12" t="s">
        <v>22</v>
      </c>
      <c r="D53" s="8">
        <f>4*2</f>
        <v>8</v>
      </c>
      <c r="E53" s="9">
        <f t="shared" si="24"/>
        <v>107.67993068878026</v>
      </c>
      <c r="F53" s="9">
        <f>E53*D53</f>
        <v>861.43944551024208</v>
      </c>
      <c r="G53" s="175"/>
      <c r="I53" s="9">
        <v>174</v>
      </c>
      <c r="J53" s="9">
        <f t="shared" si="21"/>
        <v>52.32167832167832</v>
      </c>
      <c r="K53" s="9">
        <f t="shared" si="25"/>
        <v>121.67832167832168</v>
      </c>
      <c r="L53" s="9">
        <f t="shared" si="23"/>
        <v>107.67993068878026</v>
      </c>
    </row>
    <row r="54" spans="1:12" ht="14.4" customHeight="1" thickBot="1">
      <c r="A54" s="54"/>
      <c r="B54" s="57"/>
      <c r="C54" s="58"/>
      <c r="D54" s="58"/>
      <c r="E54" s="58"/>
      <c r="F54" s="59"/>
      <c r="G54" s="175"/>
      <c r="I54" s="58"/>
      <c r="J54" s="9"/>
      <c r="K54" s="9"/>
      <c r="L54" s="9"/>
    </row>
    <row r="55" spans="1:12" ht="14.5" thickTop="1">
      <c r="A55" s="21">
        <v>5</v>
      </c>
      <c r="B55" s="161" t="s">
        <v>246</v>
      </c>
      <c r="C55" s="162"/>
      <c r="D55" s="162"/>
      <c r="E55" s="162"/>
      <c r="F55" s="163"/>
      <c r="G55" s="1">
        <f>ROUND(SUM(F56:F58),2)</f>
        <v>6661.84</v>
      </c>
      <c r="H55" s="71"/>
      <c r="I55" s="9"/>
      <c r="J55" s="9"/>
      <c r="K55" s="9"/>
      <c r="L55" s="9"/>
    </row>
    <row r="56" spans="1:12" ht="78">
      <c r="A56" s="24">
        <v>5.0999999999999996</v>
      </c>
      <c r="B56" s="26" t="s">
        <v>183</v>
      </c>
      <c r="C56" s="12" t="s">
        <v>22</v>
      </c>
      <c r="D56" s="8">
        <v>5</v>
      </c>
      <c r="E56" s="9">
        <f>L56</f>
        <v>20.422055820285909</v>
      </c>
      <c r="F56" s="9">
        <f>E56*D56</f>
        <v>102.11027910142954</v>
      </c>
      <c r="G56" s="172"/>
      <c r="H56" s="71"/>
      <c r="I56" s="9">
        <v>33</v>
      </c>
      <c r="J56" s="9">
        <f t="shared" ref="J56:J109" si="28">I56-(I56/1.43)</f>
        <v>9.9230769230769234</v>
      </c>
      <c r="K56" s="9">
        <f t="shared" ref="K56" si="29">I56-J56</f>
        <v>23.076923076923077</v>
      </c>
      <c r="L56" s="9">
        <f t="shared" ref="L56:L109" si="30">K56/1.13</f>
        <v>20.422055820285909</v>
      </c>
    </row>
    <row r="57" spans="1:12" ht="26">
      <c r="A57" s="24">
        <v>5.2</v>
      </c>
      <c r="B57" s="10" t="s">
        <v>247</v>
      </c>
      <c r="C57" s="12" t="s">
        <v>22</v>
      </c>
      <c r="D57" s="8">
        <f>ROUND(8.56+3+3+3+3+3.3+3.3,0)</f>
        <v>27</v>
      </c>
      <c r="E57" s="9">
        <f t="shared" ref="E57:E58" si="31">L57</f>
        <v>86.639024692122049</v>
      </c>
      <c r="F57" s="9">
        <f>E57*D57</f>
        <v>2339.2536666872952</v>
      </c>
      <c r="G57" s="173"/>
      <c r="H57" s="29"/>
      <c r="I57" s="9">
        <v>140</v>
      </c>
      <c r="J57" s="9">
        <f t="shared" si="28"/>
        <v>42.097902097902093</v>
      </c>
      <c r="K57" s="9">
        <f t="shared" ref="K57:K61" si="32">I57-J57</f>
        <v>97.902097902097907</v>
      </c>
      <c r="L57" s="9">
        <f t="shared" si="30"/>
        <v>86.639024692122049</v>
      </c>
    </row>
    <row r="58" spans="1:12" ht="26">
      <c r="A58" s="24">
        <v>5.3</v>
      </c>
      <c r="B58" s="10" t="s">
        <v>248</v>
      </c>
      <c r="C58" s="12" t="s">
        <v>22</v>
      </c>
      <c r="D58" s="8">
        <v>30</v>
      </c>
      <c r="E58" s="9">
        <f t="shared" si="31"/>
        <v>140.68268015170673</v>
      </c>
      <c r="F58" s="9">
        <f>E58*D58</f>
        <v>4220.4804045512019</v>
      </c>
      <c r="G58" s="18"/>
      <c r="H58" s="29"/>
      <c r="I58" s="9">
        <v>227.32914285714287</v>
      </c>
      <c r="J58" s="9">
        <f t="shared" si="28"/>
        <v>68.35771428571428</v>
      </c>
      <c r="K58" s="9">
        <f t="shared" si="32"/>
        <v>158.97142857142859</v>
      </c>
      <c r="L58" s="9">
        <f t="shared" si="30"/>
        <v>140.68268015170673</v>
      </c>
    </row>
    <row r="59" spans="1:12" ht="14.5" thickBot="1">
      <c r="A59" s="54"/>
      <c r="B59" s="64"/>
      <c r="C59" s="65"/>
      <c r="D59" s="65"/>
      <c r="E59" s="65"/>
      <c r="F59" s="66"/>
      <c r="G59" s="18"/>
      <c r="H59" s="29"/>
      <c r="I59" s="65"/>
      <c r="J59" s="9"/>
      <c r="K59" s="9"/>
      <c r="L59" s="9"/>
    </row>
    <row r="60" spans="1:12" s="16" customFormat="1" ht="14.5" thickTop="1">
      <c r="A60" s="21">
        <v>6</v>
      </c>
      <c r="B60" s="161" t="s">
        <v>249</v>
      </c>
      <c r="C60" s="162"/>
      <c r="D60" s="162"/>
      <c r="E60" s="162"/>
      <c r="F60" s="163"/>
      <c r="G60" s="1">
        <f>ROUND(SUM(F61:F61),2)</f>
        <v>1144.8699999999999</v>
      </c>
      <c r="H60" s="71"/>
      <c r="I60" s="9"/>
      <c r="J60" s="9"/>
      <c r="K60" s="9"/>
      <c r="L60" s="9"/>
    </row>
    <row r="61" spans="1:12" ht="52">
      <c r="A61" s="24">
        <v>6.1</v>
      </c>
      <c r="B61" s="10" t="s">
        <v>250</v>
      </c>
      <c r="C61" s="12" t="s">
        <v>22</v>
      </c>
      <c r="D61" s="8">
        <v>25</v>
      </c>
      <c r="E61" s="9">
        <f>L61</f>
        <v>45.794913051550232</v>
      </c>
      <c r="F61" s="9">
        <f>E61*D61</f>
        <v>1144.8728262887557</v>
      </c>
      <c r="G61" s="176"/>
      <c r="H61" s="71"/>
      <c r="I61" s="9">
        <v>74</v>
      </c>
      <c r="J61" s="9">
        <f t="shared" si="28"/>
        <v>22.251748251748246</v>
      </c>
      <c r="K61" s="9">
        <f t="shared" si="32"/>
        <v>51.748251748251754</v>
      </c>
      <c r="L61" s="9">
        <f t="shared" si="30"/>
        <v>45.794913051550232</v>
      </c>
    </row>
    <row r="62" spans="1:12" ht="15" customHeight="1" thickBot="1">
      <c r="A62" s="67"/>
      <c r="B62" s="177"/>
      <c r="C62" s="178"/>
      <c r="D62" s="178"/>
      <c r="E62" s="178"/>
      <c r="F62" s="179"/>
      <c r="G62" s="176"/>
      <c r="H62" s="29"/>
      <c r="J62" s="9"/>
      <c r="K62" s="9"/>
      <c r="L62" s="9"/>
    </row>
    <row r="63" spans="1:12" s="16" customFormat="1" ht="14.4" customHeight="1" thickTop="1">
      <c r="A63" s="21">
        <v>7</v>
      </c>
      <c r="B63" s="161" t="s">
        <v>251</v>
      </c>
      <c r="C63" s="162"/>
      <c r="D63" s="162"/>
      <c r="E63" s="162"/>
      <c r="F63" s="163"/>
      <c r="G63" s="1">
        <f>ROUND(SUM(F65:F70),2)</f>
        <v>9389.19</v>
      </c>
      <c r="H63" s="71"/>
      <c r="I63" s="30"/>
      <c r="J63" s="9"/>
      <c r="K63" s="9"/>
      <c r="L63" s="9"/>
    </row>
    <row r="64" spans="1:12">
      <c r="A64" s="24">
        <v>7.1</v>
      </c>
      <c r="B64" s="180" t="s">
        <v>252</v>
      </c>
      <c r="C64" s="181"/>
      <c r="D64" s="181"/>
      <c r="E64" s="181"/>
      <c r="F64" s="182"/>
      <c r="G64" s="183"/>
      <c r="H64" s="71"/>
      <c r="I64" s="9"/>
      <c r="J64" s="9"/>
      <c r="K64" s="9"/>
      <c r="L64" s="9"/>
    </row>
    <row r="65" spans="1:12" ht="52">
      <c r="A65" s="24" t="s">
        <v>253</v>
      </c>
      <c r="B65" s="10" t="s">
        <v>254</v>
      </c>
      <c r="C65" s="12" t="s">
        <v>15</v>
      </c>
      <c r="D65" s="8">
        <v>2</v>
      </c>
      <c r="E65" s="9">
        <f>L65</f>
        <v>165.85184726777649</v>
      </c>
      <c r="F65" s="9">
        <f>E65*D65</f>
        <v>331.70369453555298</v>
      </c>
      <c r="G65" s="176"/>
      <c r="H65" s="29"/>
      <c r="I65" s="9">
        <v>268</v>
      </c>
      <c r="J65" s="9">
        <f t="shared" si="28"/>
        <v>80.587412587412587</v>
      </c>
      <c r="K65" s="9">
        <f t="shared" ref="K65:K70" si="33">I65-J65</f>
        <v>187.41258741258741</v>
      </c>
      <c r="L65" s="9">
        <f t="shared" si="30"/>
        <v>165.85184726777649</v>
      </c>
    </row>
    <row r="66" spans="1:12" ht="26">
      <c r="A66" s="24" t="s">
        <v>255</v>
      </c>
      <c r="B66" s="10" t="s">
        <v>256</v>
      </c>
      <c r="C66" s="12" t="s">
        <v>15</v>
      </c>
      <c r="D66" s="8">
        <v>2</v>
      </c>
      <c r="E66" s="9">
        <f>L66</f>
        <v>50.126864286156327</v>
      </c>
      <c r="F66" s="9">
        <f>E66*D66</f>
        <v>100.25372857231265</v>
      </c>
      <c r="G66" s="176"/>
      <c r="H66" s="29"/>
      <c r="I66" s="9">
        <v>81</v>
      </c>
      <c r="J66" s="9">
        <f t="shared" si="28"/>
        <v>24.356643356643353</v>
      </c>
      <c r="K66" s="9">
        <f t="shared" si="33"/>
        <v>56.643356643356647</v>
      </c>
      <c r="L66" s="9">
        <f t="shared" si="30"/>
        <v>50.126864286156327</v>
      </c>
    </row>
    <row r="67" spans="1:12">
      <c r="A67" s="24">
        <v>7.2</v>
      </c>
      <c r="B67" s="180" t="s">
        <v>257</v>
      </c>
      <c r="C67" s="181"/>
      <c r="D67" s="181"/>
      <c r="E67" s="181"/>
      <c r="F67" s="182"/>
      <c r="G67" s="176"/>
      <c r="H67" s="29"/>
      <c r="I67" s="9"/>
      <c r="J67" s="9"/>
      <c r="K67" s="9"/>
      <c r="L67" s="9"/>
    </row>
    <row r="68" spans="1:12" ht="65">
      <c r="A68" s="24" t="s">
        <v>258</v>
      </c>
      <c r="B68" s="10" t="s">
        <v>259</v>
      </c>
      <c r="C68" s="12" t="s">
        <v>219</v>
      </c>
      <c r="D68" s="8">
        <v>1</v>
      </c>
      <c r="E68" s="9">
        <f>L68</f>
        <v>909.70975926728147</v>
      </c>
      <c r="F68" s="9">
        <f t="shared" ref="F68:F70" si="34">E68*D68</f>
        <v>909.70975926728147</v>
      </c>
      <c r="G68" s="176"/>
      <c r="H68" s="29"/>
      <c r="I68" s="9">
        <v>1470</v>
      </c>
      <c r="J68" s="9">
        <f t="shared" si="28"/>
        <v>442.02797202797206</v>
      </c>
      <c r="K68" s="9">
        <f t="shared" si="33"/>
        <v>1027.9720279720279</v>
      </c>
      <c r="L68" s="9">
        <f t="shared" si="30"/>
        <v>909.70975926728147</v>
      </c>
    </row>
    <row r="69" spans="1:12" ht="78">
      <c r="A69" s="24" t="s">
        <v>260</v>
      </c>
      <c r="B69" s="10" t="s">
        <v>261</v>
      </c>
      <c r="C69" s="12" t="s">
        <v>219</v>
      </c>
      <c r="D69" s="8">
        <v>2</v>
      </c>
      <c r="E69" s="9">
        <f t="shared" ref="E69:E70" si="35">L69</f>
        <v>3333.1270499412099</v>
      </c>
      <c r="F69" s="9">
        <f t="shared" si="34"/>
        <v>6666.2540998824197</v>
      </c>
      <c r="G69" s="176"/>
      <c r="I69" s="9">
        <v>5386</v>
      </c>
      <c r="J69" s="9">
        <f t="shared" si="28"/>
        <v>1619.5664335664333</v>
      </c>
      <c r="K69" s="9">
        <f t="shared" si="33"/>
        <v>3766.4335664335667</v>
      </c>
      <c r="L69" s="9">
        <f t="shared" si="30"/>
        <v>3333.1270499412099</v>
      </c>
    </row>
    <row r="70" spans="1:12" ht="78">
      <c r="A70" s="24" t="s">
        <v>262</v>
      </c>
      <c r="B70" s="10" t="s">
        <v>263</v>
      </c>
      <c r="C70" s="12" t="s">
        <v>39</v>
      </c>
      <c r="D70" s="8">
        <v>3</v>
      </c>
      <c r="E70" s="9">
        <f t="shared" si="35"/>
        <v>460.42453122099147</v>
      </c>
      <c r="F70" s="9">
        <f t="shared" si="34"/>
        <v>1381.2735936629745</v>
      </c>
      <c r="G70" s="176"/>
      <c r="I70" s="9">
        <v>744</v>
      </c>
      <c r="J70" s="9">
        <f t="shared" si="28"/>
        <v>223.72027972027968</v>
      </c>
      <c r="K70" s="9">
        <f t="shared" si="33"/>
        <v>520.27972027972032</v>
      </c>
      <c r="L70" s="9">
        <f t="shared" si="30"/>
        <v>460.42453122099147</v>
      </c>
    </row>
    <row r="71" spans="1:12" ht="14.5" thickBot="1">
      <c r="A71" s="63"/>
      <c r="B71" s="184"/>
      <c r="C71" s="184"/>
      <c r="D71" s="184"/>
      <c r="E71" s="184"/>
      <c r="F71" s="184"/>
      <c r="G71" s="176"/>
      <c r="I71" s="9"/>
      <c r="J71" s="9"/>
      <c r="K71" s="9"/>
      <c r="L71" s="9"/>
    </row>
    <row r="72" spans="1:12" s="16" customFormat="1" ht="14.5" thickTop="1">
      <c r="A72" s="21">
        <v>8</v>
      </c>
      <c r="B72" s="161" t="s">
        <v>264</v>
      </c>
      <c r="C72" s="162"/>
      <c r="D72" s="162"/>
      <c r="E72" s="162"/>
      <c r="F72" s="163"/>
      <c r="G72" s="1">
        <f>ROUND(SUM(F73:F78),2)</f>
        <v>37802.46</v>
      </c>
      <c r="H72" s="71"/>
      <c r="I72" s="9"/>
      <c r="J72" s="9"/>
      <c r="K72" s="9"/>
      <c r="L72" s="9"/>
    </row>
    <row r="73" spans="1:12" s="16" customFormat="1" ht="26">
      <c r="A73" s="24">
        <v>8.1</v>
      </c>
      <c r="B73" s="10" t="s">
        <v>265</v>
      </c>
      <c r="C73" s="12" t="s">
        <v>15</v>
      </c>
      <c r="D73" s="8">
        <f>ROUND(40+4+(279*2.8),0)</f>
        <v>825</v>
      </c>
      <c r="E73" s="9">
        <f>L73</f>
        <v>11.139303174701407</v>
      </c>
      <c r="F73" s="9">
        <f t="shared" ref="F73" si="36">E73*D73</f>
        <v>9189.9251191286603</v>
      </c>
      <c r="G73" s="174"/>
      <c r="H73" s="71"/>
      <c r="I73" s="9">
        <v>18</v>
      </c>
      <c r="J73" s="9">
        <f t="shared" si="28"/>
        <v>5.4125874125874116</v>
      </c>
      <c r="K73" s="9">
        <f t="shared" ref="K73:K78" si="37">I73-J73</f>
        <v>12.587412587412588</v>
      </c>
      <c r="L73" s="9">
        <f t="shared" si="30"/>
        <v>11.139303174701407</v>
      </c>
    </row>
    <row r="74" spans="1:12" s="16" customFormat="1" ht="26">
      <c r="A74" s="24">
        <v>8.1999999999999993</v>
      </c>
      <c r="B74" s="10" t="s">
        <v>266</v>
      </c>
      <c r="C74" s="12" t="s">
        <v>15</v>
      </c>
      <c r="D74" s="8">
        <f>ROUND(40+4+(279*2.8),0)</f>
        <v>825</v>
      </c>
      <c r="E74" s="9">
        <f t="shared" ref="E74:E78" si="38">L74</f>
        <v>4.9508014109784035</v>
      </c>
      <c r="F74" s="9">
        <f t="shared" ref="F74" si="39">E74*D74</f>
        <v>4084.4111640571828</v>
      </c>
      <c r="G74" s="175"/>
      <c r="H74" s="29"/>
      <c r="I74" s="9">
        <v>8</v>
      </c>
      <c r="J74" s="9">
        <f t="shared" si="28"/>
        <v>2.405594405594405</v>
      </c>
      <c r="K74" s="9">
        <f t="shared" si="37"/>
        <v>5.594405594405595</v>
      </c>
      <c r="L74" s="9">
        <f t="shared" si="30"/>
        <v>4.9508014109784035</v>
      </c>
    </row>
    <row r="75" spans="1:12" ht="26">
      <c r="A75" s="24">
        <v>8.3000000000000007</v>
      </c>
      <c r="B75" s="10" t="s">
        <v>267</v>
      </c>
      <c r="C75" s="12" t="s">
        <v>15</v>
      </c>
      <c r="D75" s="8">
        <f>ROUND(68.2+66+82.63+40.79+2,0)</f>
        <v>260</v>
      </c>
      <c r="E75" s="9">
        <f t="shared" si="38"/>
        <v>38.987561111454923</v>
      </c>
      <c r="F75" s="9">
        <f t="shared" ref="F75:F78" si="40">E75*D75</f>
        <v>10136.76588897828</v>
      </c>
      <c r="G75" s="175"/>
      <c r="H75" s="29"/>
      <c r="I75" s="9">
        <v>63</v>
      </c>
      <c r="J75" s="9">
        <f t="shared" si="28"/>
        <v>18.94405594405594</v>
      </c>
      <c r="K75" s="9">
        <f t="shared" si="37"/>
        <v>44.05594405594406</v>
      </c>
      <c r="L75" s="9">
        <f t="shared" si="30"/>
        <v>38.987561111454923</v>
      </c>
    </row>
    <row r="76" spans="1:12" ht="39">
      <c r="A76" s="24">
        <v>8.4</v>
      </c>
      <c r="B76" s="10" t="s">
        <v>268</v>
      </c>
      <c r="C76" s="12" t="s">
        <v>15</v>
      </c>
      <c r="D76" s="27">
        <f>ROUND((100+56.9+6+6+7.3+6.7+6.7+6.7+10.25+23.55+20)*0.5,0)</f>
        <v>125</v>
      </c>
      <c r="E76" s="9">
        <f t="shared" si="38"/>
        <v>58.790766755368537</v>
      </c>
      <c r="F76" s="9">
        <f t="shared" si="40"/>
        <v>7348.8458444210673</v>
      </c>
      <c r="G76" s="175"/>
      <c r="I76" s="9">
        <v>95</v>
      </c>
      <c r="J76" s="9">
        <f t="shared" si="28"/>
        <v>28.56643356643356</v>
      </c>
      <c r="K76" s="9">
        <f t="shared" si="37"/>
        <v>66.43356643356644</v>
      </c>
      <c r="L76" s="9">
        <f t="shared" si="30"/>
        <v>58.790766755368537</v>
      </c>
    </row>
    <row r="77" spans="1:12" ht="26">
      <c r="A77" s="24">
        <v>8.5</v>
      </c>
      <c r="B77" s="10" t="s">
        <v>269</v>
      </c>
      <c r="C77" s="12" t="s">
        <v>15</v>
      </c>
      <c r="D77" s="8">
        <f>ROUND(40+4+(279*2.8),0)</f>
        <v>825</v>
      </c>
      <c r="E77" s="9">
        <f t="shared" si="38"/>
        <v>7.4262021164676035</v>
      </c>
      <c r="F77" s="9">
        <f t="shared" si="40"/>
        <v>6126.6167460857732</v>
      </c>
      <c r="G77" s="175"/>
      <c r="I77" s="9">
        <v>12</v>
      </c>
      <c r="J77" s="9">
        <f t="shared" si="28"/>
        <v>3.6083916083916083</v>
      </c>
      <c r="K77" s="9">
        <f t="shared" si="37"/>
        <v>8.3916083916083917</v>
      </c>
      <c r="L77" s="9">
        <f t="shared" si="30"/>
        <v>7.4262021164676035</v>
      </c>
    </row>
    <row r="78" spans="1:12" ht="78">
      <c r="A78" s="24">
        <v>8.6</v>
      </c>
      <c r="B78" s="10" t="s">
        <v>270</v>
      </c>
      <c r="C78" s="13" t="s">
        <v>15</v>
      </c>
      <c r="D78" s="14">
        <f>ROUND(20.8*0.4,0)</f>
        <v>8</v>
      </c>
      <c r="E78" s="9">
        <f t="shared" si="38"/>
        <v>114.48728262887558</v>
      </c>
      <c r="F78" s="9">
        <f t="shared" si="40"/>
        <v>915.89826103100461</v>
      </c>
      <c r="G78" s="175"/>
      <c r="I78" s="9">
        <v>185</v>
      </c>
      <c r="J78" s="9">
        <f t="shared" si="28"/>
        <v>55.629370629370612</v>
      </c>
      <c r="K78" s="9">
        <f t="shared" si="37"/>
        <v>129.37062937062939</v>
      </c>
      <c r="L78" s="9">
        <f t="shared" si="30"/>
        <v>114.48728262887558</v>
      </c>
    </row>
    <row r="79" spans="1:12" ht="14.5" thickBot="1">
      <c r="A79" s="7"/>
      <c r="B79" s="185"/>
      <c r="C79" s="185"/>
      <c r="D79" s="185"/>
      <c r="E79" s="185"/>
      <c r="F79" s="185"/>
      <c r="G79" s="49"/>
      <c r="I79" s="9"/>
      <c r="J79" s="9"/>
      <c r="K79" s="9"/>
      <c r="L79" s="9"/>
    </row>
    <row r="80" spans="1:12" ht="14.5" thickTop="1">
      <c r="A80" s="21">
        <v>9</v>
      </c>
      <c r="B80" s="161" t="s">
        <v>271</v>
      </c>
      <c r="C80" s="162"/>
      <c r="D80" s="162"/>
      <c r="E80" s="162"/>
      <c r="F80" s="163"/>
      <c r="G80" s="1">
        <f>ROUND(SUM(F82:F94),2)</f>
        <v>74241.600000000006</v>
      </c>
      <c r="H80" s="71"/>
      <c r="I80" s="9"/>
      <c r="J80" s="9"/>
      <c r="K80" s="9"/>
      <c r="L80" s="9"/>
    </row>
    <row r="81" spans="1:12">
      <c r="A81" s="12">
        <v>9.1</v>
      </c>
      <c r="B81" s="186" t="s">
        <v>272</v>
      </c>
      <c r="C81" s="187"/>
      <c r="D81" s="187"/>
      <c r="E81" s="187"/>
      <c r="F81" s="188"/>
      <c r="G81" s="174"/>
      <c r="H81" s="71"/>
      <c r="I81" s="9"/>
      <c r="J81" s="9"/>
      <c r="K81" s="9"/>
      <c r="L81" s="9"/>
    </row>
    <row r="82" spans="1:12" ht="26">
      <c r="A82" s="7" t="s">
        <v>273</v>
      </c>
      <c r="B82" s="10" t="s">
        <v>274</v>
      </c>
      <c r="C82" s="12" t="s">
        <v>22</v>
      </c>
      <c r="D82" s="8">
        <v>125</v>
      </c>
      <c r="E82" s="9">
        <f>L82</f>
        <v>55.696515873507032</v>
      </c>
      <c r="F82" s="9">
        <f>E82*D82</f>
        <v>6962.0644841883786</v>
      </c>
      <c r="G82" s="175"/>
      <c r="H82" s="29"/>
      <c r="I82" s="9">
        <v>90</v>
      </c>
      <c r="J82" s="9">
        <f t="shared" si="28"/>
        <v>27.06293706293706</v>
      </c>
      <c r="K82" s="9">
        <f t="shared" ref="K82:K89" si="41">I82-J82</f>
        <v>62.93706293706294</v>
      </c>
      <c r="L82" s="9">
        <f t="shared" si="30"/>
        <v>55.696515873507032</v>
      </c>
    </row>
    <row r="83" spans="1:12" ht="26">
      <c r="A83" s="7" t="s">
        <v>275</v>
      </c>
      <c r="B83" s="10" t="s">
        <v>276</v>
      </c>
      <c r="C83" s="12" t="s">
        <v>22</v>
      </c>
      <c r="D83" s="8">
        <v>125</v>
      </c>
      <c r="E83" s="9">
        <f>L83</f>
        <v>56.31536604987933</v>
      </c>
      <c r="F83" s="9">
        <f>E83*D83</f>
        <v>7039.4207562349166</v>
      </c>
      <c r="G83" s="175"/>
      <c r="H83" s="29"/>
      <c r="I83" s="9">
        <v>91</v>
      </c>
      <c r="J83" s="9">
        <f t="shared" si="28"/>
        <v>27.36363636363636</v>
      </c>
      <c r="K83" s="9">
        <f t="shared" si="41"/>
        <v>63.63636363636364</v>
      </c>
      <c r="L83" s="9">
        <f t="shared" si="30"/>
        <v>56.31536604987933</v>
      </c>
    </row>
    <row r="84" spans="1:12">
      <c r="A84" s="7">
        <v>9.1999999999999993</v>
      </c>
      <c r="B84" s="189" t="s">
        <v>277</v>
      </c>
      <c r="C84" s="190"/>
      <c r="D84" s="190"/>
      <c r="E84" s="190"/>
      <c r="F84" s="191"/>
      <c r="G84" s="175"/>
      <c r="I84" s="9"/>
      <c r="J84" s="9">
        <f t="shared" si="28"/>
        <v>0</v>
      </c>
      <c r="K84" s="9">
        <f t="shared" si="41"/>
        <v>0</v>
      </c>
      <c r="L84" s="9">
        <f t="shared" si="30"/>
        <v>0</v>
      </c>
    </row>
    <row r="85" spans="1:12" ht="26">
      <c r="A85" s="24" t="s">
        <v>278</v>
      </c>
      <c r="B85" s="68" t="s">
        <v>279</v>
      </c>
      <c r="C85" s="12" t="s">
        <v>22</v>
      </c>
      <c r="D85" s="8">
        <v>100</v>
      </c>
      <c r="E85" s="9">
        <f>L85</f>
        <v>16.090104585679811</v>
      </c>
      <c r="F85" s="9">
        <f t="shared" ref="F85:F86" si="42">E85*D85</f>
        <v>1609.010458567981</v>
      </c>
      <c r="G85" s="175"/>
      <c r="I85" s="9">
        <v>26</v>
      </c>
      <c r="J85" s="9">
        <f t="shared" si="28"/>
        <v>7.8181818181818166</v>
      </c>
      <c r="K85" s="9">
        <f t="shared" si="41"/>
        <v>18.181818181818183</v>
      </c>
      <c r="L85" s="9">
        <f t="shared" si="30"/>
        <v>16.090104585679811</v>
      </c>
    </row>
    <row r="86" spans="1:12" ht="26">
      <c r="A86" s="24" t="s">
        <v>280</v>
      </c>
      <c r="B86" s="68" t="s">
        <v>281</v>
      </c>
      <c r="C86" s="12" t="s">
        <v>22</v>
      </c>
      <c r="D86" s="8">
        <v>100</v>
      </c>
      <c r="E86" s="9">
        <f t="shared" ref="E86:E89" si="43">L86</f>
        <v>16.708954762052112</v>
      </c>
      <c r="F86" s="9">
        <f t="shared" si="42"/>
        <v>1670.8954762052113</v>
      </c>
      <c r="G86" s="175"/>
      <c r="I86" s="9">
        <v>27</v>
      </c>
      <c r="J86" s="9">
        <f t="shared" si="28"/>
        <v>8.1188811188811165</v>
      </c>
      <c r="K86" s="9">
        <f t="shared" si="41"/>
        <v>18.881118881118883</v>
      </c>
      <c r="L86" s="9">
        <f t="shared" si="30"/>
        <v>16.708954762052112</v>
      </c>
    </row>
    <row r="87" spans="1:12" ht="26">
      <c r="A87" s="24" t="s">
        <v>282</v>
      </c>
      <c r="B87" s="10" t="s">
        <v>142</v>
      </c>
      <c r="C87" s="12" t="s">
        <v>39</v>
      </c>
      <c r="D87" s="8">
        <v>8</v>
      </c>
      <c r="E87" s="9">
        <f t="shared" si="43"/>
        <v>22.278606349402814</v>
      </c>
      <c r="F87" s="9">
        <f t="shared" ref="F87:F88" si="44">E87*D87</f>
        <v>178.22885079522251</v>
      </c>
      <c r="G87" s="175"/>
      <c r="I87" s="9">
        <v>36</v>
      </c>
      <c r="J87" s="9">
        <f t="shared" si="28"/>
        <v>10.825174825174823</v>
      </c>
      <c r="K87" s="9">
        <f t="shared" si="41"/>
        <v>25.174825174825177</v>
      </c>
      <c r="L87" s="9">
        <f t="shared" si="30"/>
        <v>22.278606349402814</v>
      </c>
    </row>
    <row r="88" spans="1:12" ht="26">
      <c r="A88" s="24">
        <v>8.3000000000000007</v>
      </c>
      <c r="B88" s="10" t="s">
        <v>140</v>
      </c>
      <c r="C88" s="12" t="s">
        <v>39</v>
      </c>
      <c r="D88" s="8">
        <v>1</v>
      </c>
      <c r="E88" s="9">
        <f t="shared" si="43"/>
        <v>439.38362522433329</v>
      </c>
      <c r="F88" s="9">
        <f t="shared" si="44"/>
        <v>439.38362522433329</v>
      </c>
      <c r="G88" s="175"/>
      <c r="I88" s="9">
        <v>710</v>
      </c>
      <c r="J88" s="9">
        <f t="shared" si="28"/>
        <v>213.49650349650346</v>
      </c>
      <c r="K88" s="9">
        <f t="shared" si="41"/>
        <v>496.50349650349654</v>
      </c>
      <c r="L88" s="9">
        <f t="shared" si="30"/>
        <v>439.38362522433329</v>
      </c>
    </row>
    <row r="89" spans="1:12" ht="80" customHeight="1">
      <c r="A89" s="24">
        <v>8.5</v>
      </c>
      <c r="B89" s="10" t="s">
        <v>283</v>
      </c>
      <c r="C89" s="12" t="s">
        <v>39</v>
      </c>
      <c r="D89" s="8">
        <v>2</v>
      </c>
      <c r="E89" s="9">
        <f t="shared" si="43"/>
        <v>872.57874868494343</v>
      </c>
      <c r="F89" s="9">
        <f>D89*E89</f>
        <v>1745.1574973698869</v>
      </c>
      <c r="G89" s="175"/>
      <c r="I89" s="9">
        <v>1410</v>
      </c>
      <c r="J89" s="9">
        <f t="shared" si="28"/>
        <v>423.98601398601397</v>
      </c>
      <c r="K89" s="9">
        <f t="shared" si="41"/>
        <v>986.01398601398603</v>
      </c>
      <c r="L89" s="9">
        <f t="shared" si="30"/>
        <v>872.57874868494343</v>
      </c>
    </row>
    <row r="90" spans="1:12" ht="29.4" customHeight="1">
      <c r="A90" s="24"/>
      <c r="B90" s="192" t="s">
        <v>284</v>
      </c>
      <c r="C90" s="193"/>
      <c r="D90" s="193"/>
      <c r="E90" s="193"/>
      <c r="F90" s="194"/>
      <c r="G90" s="175"/>
      <c r="I90" s="9"/>
      <c r="J90" s="9"/>
      <c r="K90" s="9"/>
      <c r="L90" s="9"/>
    </row>
    <row r="91" spans="1:12">
      <c r="A91" s="7">
        <v>9.3000000000000007</v>
      </c>
      <c r="B91" s="195" t="s">
        <v>143</v>
      </c>
      <c r="C91" s="195"/>
      <c r="D91" s="195"/>
      <c r="E91" s="195"/>
      <c r="F91" s="195"/>
      <c r="G91" s="175"/>
      <c r="J91" s="9"/>
      <c r="K91" s="9"/>
      <c r="L91" s="9"/>
    </row>
    <row r="92" spans="1:12" ht="52">
      <c r="A92" s="24" t="s">
        <v>285</v>
      </c>
      <c r="B92" s="68" t="s">
        <v>286</v>
      </c>
      <c r="C92" s="12" t="s">
        <v>22</v>
      </c>
      <c r="D92" s="8">
        <v>100</v>
      </c>
      <c r="E92" s="9">
        <f>L92</f>
        <v>71.167770282814544</v>
      </c>
      <c r="F92" s="9">
        <f>E92*D92</f>
        <v>7116.7770282814545</v>
      </c>
      <c r="G92" s="175"/>
      <c r="I92" s="9">
        <v>115</v>
      </c>
      <c r="J92" s="9">
        <f t="shared" si="28"/>
        <v>34.580419580419573</v>
      </c>
      <c r="K92" s="9">
        <f t="shared" ref="K92:K109" si="45">I92-J92</f>
        <v>80.419580419580427</v>
      </c>
      <c r="L92" s="9">
        <f t="shared" si="30"/>
        <v>71.167770282814544</v>
      </c>
    </row>
    <row r="93" spans="1:12" ht="26">
      <c r="A93" s="24" t="s">
        <v>287</v>
      </c>
      <c r="B93" s="68" t="s">
        <v>145</v>
      </c>
      <c r="C93" s="12" t="s">
        <v>22</v>
      </c>
      <c r="D93" s="8">
        <v>250</v>
      </c>
      <c r="E93" s="9">
        <f t="shared" ref="E93:E94" si="46">L93</f>
        <v>184.41735255894551</v>
      </c>
      <c r="F93" s="9">
        <f>E93*D93</f>
        <v>46104.338139736377</v>
      </c>
      <c r="G93" s="175"/>
      <c r="I93" s="9">
        <v>298</v>
      </c>
      <c r="J93" s="9">
        <f t="shared" si="28"/>
        <v>89.608391608391599</v>
      </c>
      <c r="K93" s="9">
        <f t="shared" si="45"/>
        <v>208.3916083916084</v>
      </c>
      <c r="L93" s="9">
        <f t="shared" si="30"/>
        <v>184.41735255894551</v>
      </c>
    </row>
    <row r="94" spans="1:12" ht="65">
      <c r="A94" s="24" t="s">
        <v>288</v>
      </c>
      <c r="B94" s="10" t="s">
        <v>147</v>
      </c>
      <c r="C94" s="12" t="s">
        <v>25</v>
      </c>
      <c r="D94" s="8">
        <v>8</v>
      </c>
      <c r="E94" s="9">
        <f t="shared" si="46"/>
        <v>172.04034903149952</v>
      </c>
      <c r="F94" s="9">
        <f>E94*D94</f>
        <v>1376.3227922519961</v>
      </c>
      <c r="G94" s="175"/>
      <c r="I94" s="9">
        <v>278</v>
      </c>
      <c r="J94" s="9">
        <f t="shared" si="28"/>
        <v>83.594405594405572</v>
      </c>
      <c r="K94" s="9">
        <f t="shared" si="45"/>
        <v>194.40559440559443</v>
      </c>
      <c r="L94" s="9">
        <f t="shared" si="30"/>
        <v>172.04034903149952</v>
      </c>
    </row>
    <row r="95" spans="1:12" ht="14.5" thickBot="1">
      <c r="A95" s="7"/>
      <c r="B95" s="196"/>
      <c r="C95" s="197"/>
      <c r="D95" s="197"/>
      <c r="E95" s="197"/>
      <c r="F95" s="198"/>
      <c r="G95" s="175"/>
      <c r="I95" s="9"/>
      <c r="J95" s="9"/>
      <c r="K95" s="9"/>
      <c r="L95" s="9"/>
    </row>
    <row r="96" spans="1:12" ht="14.5" thickTop="1">
      <c r="A96" s="21">
        <v>10</v>
      </c>
      <c r="B96" s="161" t="s">
        <v>289</v>
      </c>
      <c r="C96" s="162"/>
      <c r="D96" s="162"/>
      <c r="E96" s="162"/>
      <c r="F96" s="163"/>
      <c r="G96" s="1">
        <f>ROUND(SUM(F97:F97),2)</f>
        <v>24754.01</v>
      </c>
      <c r="H96" s="71"/>
      <c r="I96" s="9"/>
      <c r="J96" s="9"/>
      <c r="K96" s="9"/>
      <c r="L96" s="9"/>
    </row>
    <row r="97" spans="1:12" ht="65">
      <c r="A97" s="24">
        <v>10.1</v>
      </c>
      <c r="B97" s="19" t="s">
        <v>290</v>
      </c>
      <c r="C97" s="12" t="s">
        <v>291</v>
      </c>
      <c r="D97" s="8">
        <v>1</v>
      </c>
      <c r="E97" s="9">
        <f>L97</f>
        <v>24754.007054892012</v>
      </c>
      <c r="F97" s="9">
        <f>E97*D97</f>
        <v>24754.007054892012</v>
      </c>
      <c r="G97" s="183"/>
      <c r="H97" s="71"/>
      <c r="I97" s="9">
        <v>40000</v>
      </c>
      <c r="J97" s="9">
        <f t="shared" si="28"/>
        <v>12027.972027972028</v>
      </c>
      <c r="K97" s="9">
        <f t="shared" si="45"/>
        <v>27972.027972027972</v>
      </c>
      <c r="L97" s="9">
        <f t="shared" si="30"/>
        <v>24754.007054892012</v>
      </c>
    </row>
    <row r="98" spans="1:12" ht="14.5" thickBot="1">
      <c r="A98" s="7"/>
      <c r="B98" s="196"/>
      <c r="C98" s="197"/>
      <c r="D98" s="197"/>
      <c r="E98" s="197"/>
      <c r="F98" s="198"/>
      <c r="G98" s="176"/>
      <c r="H98" s="29"/>
      <c r="J98" s="9"/>
      <c r="K98" s="9"/>
      <c r="L98" s="9"/>
    </row>
    <row r="99" spans="1:12" s="16" customFormat="1" ht="14.5" thickTop="1">
      <c r="A99" s="21">
        <v>11</v>
      </c>
      <c r="B99" s="161" t="s">
        <v>114</v>
      </c>
      <c r="C99" s="162"/>
      <c r="D99" s="162"/>
      <c r="E99" s="162"/>
      <c r="F99" s="163"/>
      <c r="G99" s="1">
        <f>ROUND(SUM(F100:F109),2)</f>
        <v>61203.66</v>
      </c>
      <c r="H99" s="71"/>
      <c r="I99" s="9"/>
      <c r="J99" s="9"/>
      <c r="K99" s="9"/>
      <c r="L99" s="9"/>
    </row>
    <row r="100" spans="1:12" s="16" customFormat="1" ht="130">
      <c r="A100" s="12">
        <v>11.1</v>
      </c>
      <c r="B100" s="10" t="s">
        <v>292</v>
      </c>
      <c r="C100" s="12" t="s">
        <v>22</v>
      </c>
      <c r="D100" s="27">
        <f>15+7</f>
        <v>22</v>
      </c>
      <c r="E100" s="9">
        <f>L100</f>
        <v>1547.1254409307508</v>
      </c>
      <c r="F100" s="9">
        <f t="shared" ref="F100" si="47">D100*E100</f>
        <v>34036.759700476519</v>
      </c>
      <c r="G100" s="174"/>
      <c r="H100" s="71"/>
      <c r="I100" s="9">
        <v>2500</v>
      </c>
      <c r="J100" s="9">
        <f t="shared" si="28"/>
        <v>751.74825174825173</v>
      </c>
      <c r="K100" s="9">
        <f t="shared" si="45"/>
        <v>1748.2517482517483</v>
      </c>
      <c r="L100" s="9">
        <f t="shared" si="30"/>
        <v>1547.1254409307508</v>
      </c>
    </row>
    <row r="101" spans="1:12" s="16" customFormat="1">
      <c r="A101" s="12">
        <v>11.2</v>
      </c>
      <c r="B101" s="10" t="s">
        <v>293</v>
      </c>
      <c r="C101" s="12" t="s">
        <v>291</v>
      </c>
      <c r="D101" s="27">
        <v>1</v>
      </c>
      <c r="E101" s="9">
        <f t="shared" ref="E101:E109" si="48">L101</f>
        <v>1896.7757905811006</v>
      </c>
      <c r="F101" s="9">
        <f>E101*D101</f>
        <v>1896.7757905811006</v>
      </c>
      <c r="G101" s="175"/>
      <c r="H101" s="29"/>
      <c r="I101" s="9">
        <v>3065</v>
      </c>
      <c r="J101" s="9">
        <f t="shared" si="28"/>
        <v>921.64335664335658</v>
      </c>
      <c r="K101" s="9">
        <f t="shared" si="45"/>
        <v>2143.3566433566434</v>
      </c>
      <c r="L101" s="9">
        <f t="shared" si="30"/>
        <v>1896.7757905811006</v>
      </c>
    </row>
    <row r="102" spans="1:12" s="16" customFormat="1">
      <c r="A102" s="12">
        <v>11.3</v>
      </c>
      <c r="B102" s="10" t="s">
        <v>294</v>
      </c>
      <c r="C102" s="12" t="s">
        <v>39</v>
      </c>
      <c r="D102" s="27">
        <v>1</v>
      </c>
      <c r="E102" s="9">
        <f t="shared" si="48"/>
        <v>894.85735503434626</v>
      </c>
      <c r="F102" s="9">
        <f>E102*D102</f>
        <v>894.85735503434626</v>
      </c>
      <c r="G102" s="175"/>
      <c r="H102" s="29"/>
      <c r="I102" s="9">
        <v>1446</v>
      </c>
      <c r="J102" s="9">
        <f t="shared" si="28"/>
        <v>434.8111888111888</v>
      </c>
      <c r="K102" s="9">
        <f t="shared" si="45"/>
        <v>1011.1888111888112</v>
      </c>
      <c r="L102" s="9">
        <f t="shared" si="30"/>
        <v>894.85735503434626</v>
      </c>
    </row>
    <row r="103" spans="1:12" ht="26">
      <c r="A103" s="24">
        <v>11.4</v>
      </c>
      <c r="B103" s="10" t="s">
        <v>179</v>
      </c>
      <c r="C103" s="12" t="s">
        <v>22</v>
      </c>
      <c r="D103" s="27">
        <v>300</v>
      </c>
      <c r="E103" s="9">
        <f t="shared" si="48"/>
        <v>11.139303174701407</v>
      </c>
      <c r="F103" s="9">
        <f t="shared" ref="F103:F106" si="49">E103*D103</f>
        <v>3341.7909524104221</v>
      </c>
      <c r="G103" s="175"/>
      <c r="H103" s="29"/>
      <c r="I103" s="9">
        <v>18</v>
      </c>
      <c r="J103" s="9">
        <f t="shared" si="28"/>
        <v>5.4125874125874116</v>
      </c>
      <c r="K103" s="9">
        <f t="shared" si="45"/>
        <v>12.587412587412588</v>
      </c>
      <c r="L103" s="9">
        <f t="shared" si="30"/>
        <v>11.139303174701407</v>
      </c>
    </row>
    <row r="104" spans="1:12" ht="26">
      <c r="A104" s="24">
        <v>11.5</v>
      </c>
      <c r="B104" s="10" t="s">
        <v>155</v>
      </c>
      <c r="C104" s="12" t="s">
        <v>15</v>
      </c>
      <c r="D104" s="27">
        <v>50</v>
      </c>
      <c r="E104" s="9">
        <f t="shared" si="48"/>
        <v>71.786620459186835</v>
      </c>
      <c r="F104" s="9">
        <f t="shared" si="49"/>
        <v>3589.3310229593417</v>
      </c>
      <c r="G104" s="175"/>
      <c r="H104" s="29"/>
      <c r="I104" s="9">
        <v>116</v>
      </c>
      <c r="J104" s="9">
        <f t="shared" si="28"/>
        <v>34.88111888111888</v>
      </c>
      <c r="K104" s="9">
        <f t="shared" si="45"/>
        <v>81.11888111888112</v>
      </c>
      <c r="L104" s="9">
        <f t="shared" si="30"/>
        <v>71.786620459186835</v>
      </c>
    </row>
    <row r="105" spans="1:12" ht="26">
      <c r="A105" s="24">
        <v>11.6</v>
      </c>
      <c r="B105" s="10" t="s">
        <v>157</v>
      </c>
      <c r="C105" s="12" t="s">
        <v>25</v>
      </c>
      <c r="D105" s="27">
        <v>2</v>
      </c>
      <c r="E105" s="9">
        <f t="shared" si="48"/>
        <v>2026.7343276192837</v>
      </c>
      <c r="F105" s="9">
        <f t="shared" si="49"/>
        <v>4053.4686552385674</v>
      </c>
      <c r="G105" s="175"/>
      <c r="H105" s="29"/>
      <c r="I105" s="9">
        <v>3275</v>
      </c>
      <c r="J105" s="9">
        <f t="shared" si="28"/>
        <v>984.7902097902097</v>
      </c>
      <c r="K105" s="9">
        <f t="shared" si="45"/>
        <v>2290.2097902097903</v>
      </c>
      <c r="L105" s="9">
        <f t="shared" si="30"/>
        <v>2026.7343276192837</v>
      </c>
    </row>
    <row r="106" spans="1:12" ht="25">
      <c r="A106" s="12">
        <v>11.7</v>
      </c>
      <c r="B106" s="62" t="s">
        <v>159</v>
      </c>
      <c r="C106" s="60" t="s">
        <v>39</v>
      </c>
      <c r="D106" s="61">
        <v>1</v>
      </c>
      <c r="E106" s="9">
        <f t="shared" si="48"/>
        <v>642.36648307444773</v>
      </c>
      <c r="F106" s="9">
        <f t="shared" si="49"/>
        <v>642.36648307444773</v>
      </c>
      <c r="G106" s="175"/>
      <c r="H106" s="29"/>
      <c r="I106" s="50">
        <v>1038</v>
      </c>
      <c r="J106" s="9">
        <f t="shared" si="28"/>
        <v>312.12587412587413</v>
      </c>
      <c r="K106" s="9">
        <f t="shared" si="45"/>
        <v>725.87412587412587</v>
      </c>
      <c r="L106" s="9">
        <f t="shared" si="30"/>
        <v>642.36648307444773</v>
      </c>
    </row>
    <row r="107" spans="1:12">
      <c r="A107" s="24">
        <v>11.8</v>
      </c>
      <c r="B107" s="10" t="s">
        <v>162</v>
      </c>
      <c r="C107" s="12" t="s">
        <v>15</v>
      </c>
      <c r="D107" s="27">
        <f>ROUND(1053.14+137.53+67+37.2+21+85+41+8,0)</f>
        <v>1450</v>
      </c>
      <c r="E107" s="9">
        <f t="shared" si="48"/>
        <v>7.4262021164676035</v>
      </c>
      <c r="F107" s="9">
        <f t="shared" ref="F107" si="50">E107*D107</f>
        <v>10767.993068878026</v>
      </c>
      <c r="G107" s="175"/>
      <c r="I107" s="9">
        <v>12</v>
      </c>
      <c r="J107" s="9">
        <f t="shared" si="28"/>
        <v>3.6083916083916083</v>
      </c>
      <c r="K107" s="9">
        <f t="shared" si="45"/>
        <v>8.3916083916083917</v>
      </c>
      <c r="L107" s="9">
        <f t="shared" si="30"/>
        <v>7.4262021164676035</v>
      </c>
    </row>
    <row r="108" spans="1:12">
      <c r="A108" s="24">
        <v>11.9</v>
      </c>
      <c r="B108" s="10" t="s">
        <v>164</v>
      </c>
      <c r="C108" s="12" t="s">
        <v>25</v>
      </c>
      <c r="D108" s="8">
        <v>75</v>
      </c>
      <c r="E108" s="9">
        <f t="shared" si="48"/>
        <v>9.9016028219568071</v>
      </c>
      <c r="F108" s="9">
        <f>E108*D108</f>
        <v>742.62021164676048</v>
      </c>
      <c r="G108" s="175"/>
      <c r="I108" s="9">
        <v>16</v>
      </c>
      <c r="J108" s="9">
        <f t="shared" si="28"/>
        <v>4.8111888111888099</v>
      </c>
      <c r="K108" s="9">
        <f t="shared" si="45"/>
        <v>11.18881118881119</v>
      </c>
      <c r="L108" s="9">
        <f t="shared" si="30"/>
        <v>9.9016028219568071</v>
      </c>
    </row>
    <row r="109" spans="1:12">
      <c r="A109" s="24">
        <v>11.1</v>
      </c>
      <c r="B109" s="10" t="s">
        <v>166</v>
      </c>
      <c r="C109" s="12" t="s">
        <v>25</v>
      </c>
      <c r="D109" s="8">
        <v>8</v>
      </c>
      <c r="E109" s="9">
        <f t="shared" si="48"/>
        <v>154.71254409307508</v>
      </c>
      <c r="F109" s="9">
        <f>E109*D109</f>
        <v>1237.7003527446007</v>
      </c>
      <c r="G109" s="175"/>
      <c r="I109" s="9">
        <v>250</v>
      </c>
      <c r="J109" s="9">
        <f t="shared" si="28"/>
        <v>75.174825174825173</v>
      </c>
      <c r="K109" s="9">
        <f t="shared" si="45"/>
        <v>174.82517482517483</v>
      </c>
      <c r="L109" s="9">
        <f t="shared" si="30"/>
        <v>154.71254409307508</v>
      </c>
    </row>
    <row r="110" spans="1:12">
      <c r="A110" s="20"/>
      <c r="B110" s="200"/>
      <c r="C110" s="201"/>
      <c r="D110" s="201"/>
      <c r="E110" s="201"/>
      <c r="F110" s="202"/>
      <c r="G110" s="199"/>
      <c r="I110" s="69"/>
      <c r="J110" s="69"/>
      <c r="K110" s="69"/>
      <c r="L110" s="69"/>
    </row>
    <row r="111" spans="1:12" ht="14.4" customHeight="1">
      <c r="A111" s="19"/>
      <c r="B111" s="19"/>
      <c r="C111" s="19"/>
      <c r="D111" s="19"/>
      <c r="E111" s="206" t="s">
        <v>295</v>
      </c>
      <c r="F111" s="206"/>
      <c r="G111" s="31">
        <f>SUM(G6:G110)</f>
        <v>765444.03</v>
      </c>
      <c r="I111" s="69"/>
      <c r="J111" s="69"/>
      <c r="K111" s="69"/>
      <c r="L111" s="69"/>
    </row>
    <row r="112" spans="1:12" ht="14" customHeight="1">
      <c r="A112" s="19"/>
      <c r="B112" s="19"/>
      <c r="C112" s="19"/>
      <c r="D112" s="19"/>
      <c r="E112" s="206" t="s">
        <v>296</v>
      </c>
      <c r="F112" s="206"/>
      <c r="G112" s="31">
        <f>G111*0.2</f>
        <v>153088.80600000001</v>
      </c>
      <c r="I112" s="69"/>
      <c r="J112" s="69"/>
      <c r="K112" s="69"/>
      <c r="L112" s="69"/>
    </row>
    <row r="113" spans="1:12" ht="14" customHeight="1">
      <c r="A113" s="19"/>
      <c r="B113" s="19"/>
      <c r="C113" s="19"/>
      <c r="D113" s="19"/>
      <c r="E113" s="206" t="s">
        <v>297</v>
      </c>
      <c r="F113" s="206"/>
      <c r="G113" s="31">
        <f>(G111+G112)*0.4</f>
        <v>367413.13440000004</v>
      </c>
      <c r="I113" s="69"/>
      <c r="J113" s="69"/>
      <c r="K113" s="69"/>
      <c r="L113" s="69"/>
    </row>
    <row r="114" spans="1:12" ht="14" customHeight="1">
      <c r="A114" s="28"/>
      <c r="B114" s="28"/>
      <c r="C114" s="28"/>
      <c r="D114" s="28"/>
      <c r="E114" s="207" t="s">
        <v>298</v>
      </c>
      <c r="F114" s="208"/>
      <c r="G114" s="32">
        <f>G111+G112+G113</f>
        <v>1285945.9704</v>
      </c>
      <c r="I114" s="69"/>
      <c r="J114" s="69"/>
      <c r="K114" s="69"/>
      <c r="L114" s="69"/>
    </row>
    <row r="115" spans="1:12" ht="14" customHeight="1">
      <c r="A115" s="19"/>
      <c r="B115" s="19"/>
      <c r="C115" s="19"/>
      <c r="D115" s="19"/>
      <c r="E115" s="19"/>
      <c r="F115" s="19" t="s">
        <v>299</v>
      </c>
      <c r="G115" s="31">
        <f>G114*0.13</f>
        <v>167172.97615200002</v>
      </c>
      <c r="I115" s="70"/>
      <c r="J115" s="69"/>
      <c r="K115" s="69"/>
      <c r="L115" s="69"/>
    </row>
    <row r="116" spans="1:12" ht="14" customHeight="1">
      <c r="A116" s="28"/>
      <c r="B116" s="28"/>
      <c r="C116" s="28"/>
      <c r="D116" s="209" t="s">
        <v>199</v>
      </c>
      <c r="E116" s="210"/>
      <c r="F116" s="211"/>
      <c r="G116" s="32">
        <f>G114+G115</f>
        <v>1453118.946552</v>
      </c>
    </row>
    <row r="117" spans="1:12" ht="14" customHeight="1">
      <c r="A117" s="19"/>
      <c r="B117" s="19"/>
      <c r="C117" s="19"/>
      <c r="D117" s="206" t="s">
        <v>300</v>
      </c>
      <c r="E117" s="206"/>
      <c r="F117" s="206"/>
      <c r="G117" s="31">
        <f>G116*0.05</f>
        <v>72655.947327600006</v>
      </c>
    </row>
    <row r="118" spans="1:12" ht="14" customHeight="1">
      <c r="A118" s="203" t="s">
        <v>301</v>
      </c>
      <c r="B118" s="204"/>
      <c r="C118" s="204"/>
      <c r="D118" s="204"/>
      <c r="E118" s="204"/>
      <c r="F118" s="205"/>
      <c r="G118" s="33">
        <f>G116+G117</f>
        <v>1525774.8938796001</v>
      </c>
    </row>
  </sheetData>
  <mergeCells count="59">
    <mergeCell ref="B6:F6"/>
    <mergeCell ref="G64:G71"/>
    <mergeCell ref="D27:D37"/>
    <mergeCell ref="E27:E37"/>
    <mergeCell ref="F27:F37"/>
    <mergeCell ref="G61:G62"/>
    <mergeCell ref="G7:G18"/>
    <mergeCell ref="B18:F18"/>
    <mergeCell ref="G20:G24"/>
    <mergeCell ref="B11:F11"/>
    <mergeCell ref="B7:F7"/>
    <mergeCell ref="G100:G110"/>
    <mergeCell ref="D116:F116"/>
    <mergeCell ref="D117:F117"/>
    <mergeCell ref="G45:G54"/>
    <mergeCell ref="G81:G95"/>
    <mergeCell ref="G56:G57"/>
    <mergeCell ref="B98:F98"/>
    <mergeCell ref="G73:G78"/>
    <mergeCell ref="B110:F110"/>
    <mergeCell ref="B99:F99"/>
    <mergeCell ref="B80:F80"/>
    <mergeCell ref="B90:F90"/>
    <mergeCell ref="B96:F96"/>
    <mergeCell ref="A1:G1"/>
    <mergeCell ref="A2:G2"/>
    <mergeCell ref="A3:G3"/>
    <mergeCell ref="A4:G4"/>
    <mergeCell ref="A118:F118"/>
    <mergeCell ref="B15:F15"/>
    <mergeCell ref="E111:F111"/>
    <mergeCell ref="E112:F112"/>
    <mergeCell ref="E113:F113"/>
    <mergeCell ref="E114:F114"/>
    <mergeCell ref="B81:F81"/>
    <mergeCell ref="B84:F84"/>
    <mergeCell ref="B55:F55"/>
    <mergeCell ref="B71:F71"/>
    <mergeCell ref="B60:F60"/>
    <mergeCell ref="B64:F64"/>
    <mergeCell ref="A27:A37"/>
    <mergeCell ref="G26:G43"/>
    <mergeCell ref="B19:F19"/>
    <mergeCell ref="B25:F25"/>
    <mergeCell ref="C27:C37"/>
    <mergeCell ref="B24:F24"/>
    <mergeCell ref="K27:K37"/>
    <mergeCell ref="L27:L37"/>
    <mergeCell ref="G97:G98"/>
    <mergeCell ref="B72:F72"/>
    <mergeCell ref="B91:F91"/>
    <mergeCell ref="I27:I37"/>
    <mergeCell ref="J27:J37"/>
    <mergeCell ref="B44:F44"/>
    <mergeCell ref="B67:F67"/>
    <mergeCell ref="B62:F62"/>
    <mergeCell ref="B95:F95"/>
    <mergeCell ref="B79:F79"/>
    <mergeCell ref="B63:F63"/>
  </mergeCells>
  <phoneticPr fontId="4" type="noConversion"/>
  <pageMargins left="0.7" right="0.7" top="0.75" bottom="0.75" header="0.3" footer="0.3"/>
  <pageSetup paperSize="180" scale="61" fitToHeight="0" orientation="portrait" horizontalDpi="1200" verticalDpi="1200" r:id="rId1"/>
  <headerFooter>
    <oddHeader>&amp;C&amp;"Century Gothic,Normal"&amp;20LISTADO DE CANTIDAD (PRESUPUESTO)</oddHeader>
  </headerFooter>
  <rowBreaks count="4" manualBreakCount="4">
    <brk id="24" max="6" man="1"/>
    <brk id="43" max="6" man="1"/>
    <brk id="71" max="6" man="1"/>
    <brk id="9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5:E24"/>
  <sheetViews>
    <sheetView workbookViewId="0"/>
  </sheetViews>
  <sheetFormatPr baseColWidth="10" defaultColWidth="11.453125" defaultRowHeight="14.5"/>
  <cols>
    <col min="3" max="3" width="5.08984375" bestFit="1" customWidth="1"/>
    <col min="4" max="4" width="48.6328125" customWidth="1"/>
    <col min="5" max="5" width="19.36328125" customWidth="1"/>
  </cols>
  <sheetData>
    <row r="5" spans="3:5">
      <c r="C5" s="34" t="s">
        <v>305</v>
      </c>
      <c r="D5" s="35" t="s">
        <v>306</v>
      </c>
      <c r="E5" s="36" t="s">
        <v>307</v>
      </c>
    </row>
    <row r="6" spans="3:5">
      <c r="C6" s="37">
        <f>PRESUPUESTO!A6</f>
        <v>1</v>
      </c>
      <c r="D6" s="38" t="s">
        <v>11</v>
      </c>
      <c r="E6" s="39">
        <f>PRESUPUESTO!I8</f>
        <v>7</v>
      </c>
    </row>
    <row r="7" spans="3:5">
      <c r="C7" s="40" t="s">
        <v>308</v>
      </c>
      <c r="D7" s="41" t="s">
        <v>46</v>
      </c>
      <c r="E7" s="39">
        <f>PRESUPUESTO!I21</f>
        <v>570</v>
      </c>
    </row>
    <row r="8" spans="3:5">
      <c r="C8" s="37" t="s">
        <v>309</v>
      </c>
      <c r="D8" s="41" t="s">
        <v>87</v>
      </c>
      <c r="E8" s="39">
        <f>PRESUPUESTO!I27</f>
        <v>50265</v>
      </c>
    </row>
    <row r="9" spans="3:5">
      <c r="C9" s="37" t="s">
        <v>310</v>
      </c>
      <c r="D9" s="38" t="s">
        <v>239</v>
      </c>
      <c r="E9" s="39">
        <f>PRESUPUESTO!I46</f>
        <v>7</v>
      </c>
    </row>
    <row r="10" spans="3:5">
      <c r="C10" s="37" t="s">
        <v>311</v>
      </c>
      <c r="D10" s="38" t="s">
        <v>312</v>
      </c>
      <c r="E10" s="39">
        <f>PRESUPUESTO!I57</f>
        <v>140</v>
      </c>
    </row>
    <row r="11" spans="3:5">
      <c r="C11" s="37" t="s">
        <v>313</v>
      </c>
      <c r="D11" s="38" t="s">
        <v>249</v>
      </c>
      <c r="E11" s="39">
        <f>PRESUPUESTO!I62</f>
        <v>0</v>
      </c>
    </row>
    <row r="12" spans="3:5">
      <c r="C12" s="37" t="s">
        <v>314</v>
      </c>
      <c r="D12" s="38" t="s">
        <v>251</v>
      </c>
      <c r="E12" s="39">
        <f>PRESUPUESTO!I67</f>
        <v>0</v>
      </c>
    </row>
    <row r="13" spans="3:5">
      <c r="C13" s="37">
        <v>8</v>
      </c>
      <c r="D13" s="38" t="s">
        <v>315</v>
      </c>
      <c r="E13" s="39">
        <f>PRESUPUESTO!I74</f>
        <v>8</v>
      </c>
    </row>
    <row r="14" spans="3:5">
      <c r="C14" s="37">
        <v>9</v>
      </c>
      <c r="D14" s="38" t="s">
        <v>271</v>
      </c>
      <c r="E14" s="39">
        <f>PRESUPUESTO!I82</f>
        <v>90</v>
      </c>
    </row>
    <row r="15" spans="3:5">
      <c r="C15" s="37">
        <v>10</v>
      </c>
      <c r="D15" s="38" t="s">
        <v>316</v>
      </c>
      <c r="E15" s="39">
        <f>PRESUPUESTO!I98</f>
        <v>0</v>
      </c>
    </row>
    <row r="16" spans="3:5">
      <c r="C16" s="37">
        <v>11</v>
      </c>
      <c r="D16" s="38" t="s">
        <v>114</v>
      </c>
      <c r="E16" s="39">
        <f>PRESUPUESTO!I102</f>
        <v>1446</v>
      </c>
    </row>
    <row r="17" spans="3:5">
      <c r="C17" s="37">
        <v>12</v>
      </c>
      <c r="D17" s="42" t="s">
        <v>317</v>
      </c>
      <c r="E17" s="43">
        <f>SUM(E6:E16)</f>
        <v>52533</v>
      </c>
    </row>
    <row r="18" spans="3:5">
      <c r="C18" s="37">
        <v>13</v>
      </c>
      <c r="D18" s="44" t="s">
        <v>296</v>
      </c>
      <c r="E18" s="43">
        <f>E17*0.2</f>
        <v>10506.6</v>
      </c>
    </row>
    <row r="19" spans="3:5">
      <c r="C19" s="37">
        <v>14</v>
      </c>
      <c r="D19" s="45" t="s">
        <v>318</v>
      </c>
      <c r="E19" s="43">
        <f>PRESUPUESTO!G113</f>
        <v>367413.13440000004</v>
      </c>
    </row>
    <row r="20" spans="3:5">
      <c r="C20" s="40">
        <v>15</v>
      </c>
      <c r="D20" s="42" t="s">
        <v>319</v>
      </c>
      <c r="E20" s="43">
        <f>SUM(E17:E19)</f>
        <v>430452.73440000002</v>
      </c>
    </row>
    <row r="21" spans="3:5">
      <c r="C21" s="40">
        <v>16</v>
      </c>
      <c r="D21" s="46" t="s">
        <v>320</v>
      </c>
      <c r="E21" s="43">
        <f>E20*0.13</f>
        <v>55958.855472000003</v>
      </c>
    </row>
    <row r="22" spans="3:5">
      <c r="C22" s="40">
        <v>17</v>
      </c>
      <c r="D22" s="42" t="s">
        <v>321</v>
      </c>
      <c r="E22" s="43">
        <f>E21+E20</f>
        <v>486411.58987200004</v>
      </c>
    </row>
    <row r="23" spans="3:5">
      <c r="C23" s="37">
        <v>18</v>
      </c>
      <c r="D23" s="44" t="s">
        <v>322</v>
      </c>
      <c r="E23" s="47">
        <f>E22*0.05</f>
        <v>24320.579493600002</v>
      </c>
    </row>
    <row r="24" spans="3:5">
      <c r="C24" s="37">
        <v>19</v>
      </c>
      <c r="D24" s="42" t="s">
        <v>323</v>
      </c>
      <c r="E24" s="48">
        <f>SUM(E22:E23)</f>
        <v>510732.16936560004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PLAN DE OFERTA</vt:lpstr>
      <vt:lpstr>10477</vt:lpstr>
      <vt:lpstr>PRESUPUESTO</vt:lpstr>
      <vt:lpstr>Hoja1</vt:lpstr>
      <vt:lpstr>'10477'!Área_de_impresión</vt:lpstr>
      <vt:lpstr>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Pérez</dc:creator>
  <cp:keywords/>
  <dc:description/>
  <cp:lastModifiedBy>Quick Service PC</cp:lastModifiedBy>
  <cp:revision/>
  <cp:lastPrinted>2023-07-05T22:06:54Z</cp:lastPrinted>
  <dcterms:created xsi:type="dcterms:W3CDTF">2023-03-14T21:05:52Z</dcterms:created>
  <dcterms:modified xsi:type="dcterms:W3CDTF">2023-07-13T18:07:38Z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27a2b6-15f0-419d-9b28-c70a2bd9d8e7_Enabled">
    <vt:lpwstr>true</vt:lpwstr>
  </property>
  <property fmtid="{D5CDD505-2E9C-101B-9397-08002B2CF9AE}" pid="3" name="MSIP_Label_1127a2b6-15f0-419d-9b28-c70a2bd9d8e7_SetDate">
    <vt:lpwstr>2023-05-02T13:53:24Z</vt:lpwstr>
  </property>
  <property fmtid="{D5CDD505-2E9C-101B-9397-08002B2CF9AE}" pid="4" name="MSIP_Label_1127a2b6-15f0-419d-9b28-c70a2bd9d8e7_Method">
    <vt:lpwstr>Standard</vt:lpwstr>
  </property>
  <property fmtid="{D5CDD505-2E9C-101B-9397-08002B2CF9AE}" pid="5" name="MSIP_Label_1127a2b6-15f0-419d-9b28-c70a2bd9d8e7_Name">
    <vt:lpwstr>defa4170-0d19-0005-0004-bc88714345d2</vt:lpwstr>
  </property>
  <property fmtid="{D5CDD505-2E9C-101B-9397-08002B2CF9AE}" pid="6" name="MSIP_Label_1127a2b6-15f0-419d-9b28-c70a2bd9d8e7_SiteId">
    <vt:lpwstr>72c26e03-2318-442a-ad4d-dd5408fdc373</vt:lpwstr>
  </property>
  <property fmtid="{D5CDD505-2E9C-101B-9397-08002B2CF9AE}" pid="7" name="MSIP_Label_1127a2b6-15f0-419d-9b28-c70a2bd9d8e7_ActionId">
    <vt:lpwstr>43e5f788-f471-480b-936d-c65295a09a8f</vt:lpwstr>
  </property>
  <property fmtid="{D5CDD505-2E9C-101B-9397-08002B2CF9AE}" pid="8" name="MSIP_Label_1127a2b6-15f0-419d-9b28-c70a2bd9d8e7_ContentBits">
    <vt:lpwstr>0</vt:lpwstr>
  </property>
</Properties>
</file>